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BND XÃ BÌNH PHÚ\3. DỰ TOÁN 2025\TT TRÌNH BTV CHÍNH XÁC\29.7.2025\"/>
    </mc:Choice>
  </mc:AlternateContent>
  <bookViews>
    <workbookView xWindow="120" yWindow="72" windowWidth="20160" windowHeight="7692" tabRatio="831"/>
  </bookViews>
  <sheets>
    <sheet name="Cân đối" sheetId="23" r:id="rId1"/>
    <sheet name="DTthu phát sinh" sheetId="3" r:id="rId2"/>
    <sheet name="DT thu NSX hưởng" sheetId="22" r:id="rId3"/>
    <sheet name="Chi NSNN" sheetId="6" r:id="rId4"/>
    <sheet name="CHI ĐƠN VỊ (5)" sheetId="8" r:id="rId5"/>
  </sheets>
  <definedNames>
    <definedName name="_xlnm.Print_Titles" localSheetId="4">'CHI ĐƠN VỊ (5)'!$5:$8</definedName>
    <definedName name="_xlnm.Print_Titles" localSheetId="3">'Chi NSNN'!$5:$7</definedName>
    <definedName name="_xlnm.Print_Titles" localSheetId="1">'DTthu phát sinh'!$5:$8</definedName>
  </definedNames>
  <calcPr calcId="162913"/>
</workbook>
</file>

<file path=xl/calcChain.xml><?xml version="1.0" encoding="utf-8"?>
<calcChain xmlns="http://schemas.openxmlformats.org/spreadsheetml/2006/main">
  <c r="G122" i="8" l="1"/>
  <c r="G51" i="8" l="1"/>
  <c r="J56" i="8" l="1"/>
  <c r="G29" i="8" l="1"/>
  <c r="C31" i="8"/>
  <c r="C75" i="8" l="1"/>
  <c r="C77" i="8"/>
  <c r="C78" i="8"/>
  <c r="C76" i="8"/>
  <c r="T122" i="8"/>
  <c r="O69" i="8"/>
  <c r="O82" i="8"/>
  <c r="O74" i="8"/>
  <c r="O71" i="8"/>
  <c r="O62" i="8"/>
  <c r="O52" i="8"/>
  <c r="O50" i="8"/>
  <c r="O47" i="8"/>
  <c r="O41" i="8"/>
  <c r="O37" i="8" s="1"/>
  <c r="O38" i="8"/>
  <c r="O24" i="8"/>
  <c r="O20" i="8" s="1"/>
  <c r="O21" i="8"/>
  <c r="O14" i="8"/>
  <c r="O11" i="8"/>
  <c r="O10" i="8"/>
  <c r="C79" i="8"/>
  <c r="C80" i="8"/>
  <c r="C67" i="8"/>
  <c r="C70" i="8"/>
  <c r="V71" i="8"/>
  <c r="V65" i="8"/>
  <c r="U71" i="8"/>
  <c r="U65" i="8"/>
  <c r="T71" i="8"/>
  <c r="S71" i="8"/>
  <c r="R71" i="8"/>
  <c r="Q71" i="8"/>
  <c r="Q65" i="8" s="1"/>
  <c r="M71" i="8"/>
  <c r="L71" i="8"/>
  <c r="K71" i="8"/>
  <c r="J71" i="8"/>
  <c r="I71" i="8"/>
  <c r="H71" i="8"/>
  <c r="G71" i="8"/>
  <c r="T66" i="8"/>
  <c r="T65" i="8" s="1"/>
  <c r="S66" i="8"/>
  <c r="R66" i="8"/>
  <c r="Q66" i="8"/>
  <c r="P66" i="8"/>
  <c r="M66" i="8"/>
  <c r="L66" i="8"/>
  <c r="K66" i="8"/>
  <c r="K65" i="8" s="1"/>
  <c r="J66" i="8"/>
  <c r="J65" i="8" s="1"/>
  <c r="J61" i="8" s="1"/>
  <c r="I66" i="8"/>
  <c r="I65" i="8" s="1"/>
  <c r="H66" i="8"/>
  <c r="P73" i="8"/>
  <c r="N72" i="8"/>
  <c r="C72" i="8" s="1"/>
  <c r="G66" i="8"/>
  <c r="N68" i="8"/>
  <c r="C68" i="8" s="1"/>
  <c r="G52" i="8"/>
  <c r="G50" i="8" s="1"/>
  <c r="C59" i="8"/>
  <c r="G43" i="8"/>
  <c r="G41" i="8" s="1"/>
  <c r="S29" i="8"/>
  <c r="R32" i="8"/>
  <c r="C32" i="8"/>
  <c r="C33" i="8"/>
  <c r="S25" i="8"/>
  <c r="S24" i="8" s="1"/>
  <c r="R25" i="8"/>
  <c r="G25" i="8"/>
  <c r="G24" i="8" s="1"/>
  <c r="C35" i="8"/>
  <c r="C36" i="8"/>
  <c r="C26" i="8"/>
  <c r="C27" i="8"/>
  <c r="C28" i="8"/>
  <c r="M49" i="8"/>
  <c r="M57" i="8" s="1"/>
  <c r="J48" i="8"/>
  <c r="C48" i="8"/>
  <c r="F11" i="6"/>
  <c r="F19" i="6"/>
  <c r="F21" i="6"/>
  <c r="F42" i="6"/>
  <c r="C31" i="3"/>
  <c r="N52" i="8"/>
  <c r="N50" i="8" s="1"/>
  <c r="V52" i="8"/>
  <c r="V50" i="8" s="1"/>
  <c r="U52" i="8"/>
  <c r="U50" i="8" s="1"/>
  <c r="T52" i="8"/>
  <c r="T50" i="8" s="1"/>
  <c r="S52" i="8"/>
  <c r="S50" i="8" s="1"/>
  <c r="R52" i="8"/>
  <c r="R50" i="8" s="1"/>
  <c r="Q52" i="8"/>
  <c r="Q50" i="8" s="1"/>
  <c r="P52" i="8"/>
  <c r="P50" i="8" s="1"/>
  <c r="L52" i="8"/>
  <c r="L50" i="8" s="1"/>
  <c r="K52" i="8"/>
  <c r="K50" i="8" s="1"/>
  <c r="I52" i="8"/>
  <c r="I50" i="8" s="1"/>
  <c r="H52" i="8"/>
  <c r="H50" i="8" s="1"/>
  <c r="F52" i="8"/>
  <c r="F50" i="8" s="1"/>
  <c r="F46" i="8" s="1"/>
  <c r="E52" i="8"/>
  <c r="E50" i="8" s="1"/>
  <c r="E46" i="8" s="1"/>
  <c r="D52" i="8"/>
  <c r="D50" i="8" s="1"/>
  <c r="C54" i="8"/>
  <c r="D18" i="6"/>
  <c r="C56" i="8"/>
  <c r="C55" i="8"/>
  <c r="C58" i="8"/>
  <c r="J33" i="6"/>
  <c r="C33" i="6"/>
  <c r="H33" i="6" s="1"/>
  <c r="C28" i="6"/>
  <c r="D14" i="6"/>
  <c r="G14" i="6" s="1"/>
  <c r="D33" i="6"/>
  <c r="F33" i="6" s="1"/>
  <c r="D28" i="6"/>
  <c r="F28" i="6" s="1"/>
  <c r="C44" i="8"/>
  <c r="C30" i="8"/>
  <c r="C16" i="8"/>
  <c r="C17" i="8"/>
  <c r="G18" i="8"/>
  <c r="C18" i="8" s="1"/>
  <c r="D126" i="8"/>
  <c r="J125" i="8"/>
  <c r="C125" i="8"/>
  <c r="C124" i="8"/>
  <c r="D123" i="8"/>
  <c r="C123" i="8" s="1"/>
  <c r="I122" i="8"/>
  <c r="H122" i="8"/>
  <c r="D122" i="8"/>
  <c r="C122" i="8" s="1"/>
  <c r="C121" i="8"/>
  <c r="C120" i="8"/>
  <c r="H119" i="8"/>
  <c r="C119" i="8"/>
  <c r="D118" i="8"/>
  <c r="C117" i="8"/>
  <c r="C116" i="8"/>
  <c r="H115" i="8"/>
  <c r="H114" i="8" s="1"/>
  <c r="D114" i="8"/>
  <c r="C113" i="8"/>
  <c r="C112" i="8"/>
  <c r="H111" i="8"/>
  <c r="H110" i="8"/>
  <c r="D110" i="8"/>
  <c r="C109" i="8"/>
  <c r="C108" i="8"/>
  <c r="H107" i="8"/>
  <c r="H106" i="8" s="1"/>
  <c r="D106" i="8"/>
  <c r="C105" i="8"/>
  <c r="C104" i="8"/>
  <c r="H103" i="8"/>
  <c r="H102" i="8" s="1"/>
  <c r="D102" i="8"/>
  <c r="C101" i="8"/>
  <c r="C100" i="8"/>
  <c r="H99" i="8"/>
  <c r="H98" i="8" s="1"/>
  <c r="D98" i="8"/>
  <c r="C97" i="8"/>
  <c r="C96" i="8"/>
  <c r="H95" i="8"/>
  <c r="C95" i="8"/>
  <c r="D94" i="8"/>
  <c r="C93" i="8"/>
  <c r="C92" i="8"/>
  <c r="H91" i="8"/>
  <c r="C91" i="8" s="1"/>
  <c r="D90" i="8"/>
  <c r="C89" i="8"/>
  <c r="C88" i="8"/>
  <c r="H87" i="8"/>
  <c r="C87" i="8" s="1"/>
  <c r="D86" i="8"/>
  <c r="C85" i="8"/>
  <c r="C83" i="8"/>
  <c r="V82" i="8"/>
  <c r="U82" i="8"/>
  <c r="T82" i="8"/>
  <c r="S82" i="8"/>
  <c r="R82" i="8"/>
  <c r="Q82" i="8"/>
  <c r="P82" i="8"/>
  <c r="N82" i="8"/>
  <c r="M82" i="8"/>
  <c r="L82" i="8"/>
  <c r="K82" i="8"/>
  <c r="J82" i="8"/>
  <c r="I82" i="8"/>
  <c r="H82" i="8"/>
  <c r="G82" i="8"/>
  <c r="D82" i="8"/>
  <c r="C81" i="8"/>
  <c r="Q64" i="8"/>
  <c r="Q62" i="8" s="1"/>
  <c r="I64" i="8"/>
  <c r="I62" i="8" s="1"/>
  <c r="C63" i="8"/>
  <c r="V62" i="8"/>
  <c r="V61" i="8" s="1"/>
  <c r="U62" i="8"/>
  <c r="T62" i="8"/>
  <c r="T61" i="8" s="1"/>
  <c r="S62" i="8"/>
  <c r="R62" i="8"/>
  <c r="P62" i="8"/>
  <c r="N62" i="8"/>
  <c r="M62" i="8"/>
  <c r="L62" i="8"/>
  <c r="K62" i="8"/>
  <c r="J62" i="8"/>
  <c r="H62" i="8"/>
  <c r="G62" i="8"/>
  <c r="D61" i="8"/>
  <c r="C60" i="8"/>
  <c r="C51" i="8"/>
  <c r="J49" i="8"/>
  <c r="V47" i="8"/>
  <c r="U47" i="8"/>
  <c r="T47" i="8"/>
  <c r="S47" i="8"/>
  <c r="R47" i="8"/>
  <c r="Q47" i="8"/>
  <c r="P47" i="8"/>
  <c r="N47" i="8"/>
  <c r="L47" i="8"/>
  <c r="K47" i="8"/>
  <c r="I47" i="8"/>
  <c r="H47" i="8"/>
  <c r="H46" i="8" s="1"/>
  <c r="G47" i="8"/>
  <c r="C45" i="8"/>
  <c r="C42" i="8"/>
  <c r="V41" i="8"/>
  <c r="U41" i="8"/>
  <c r="T41" i="8"/>
  <c r="S41" i="8"/>
  <c r="R41" i="8"/>
  <c r="Q41" i="8"/>
  <c r="P41" i="8"/>
  <c r="N41" i="8"/>
  <c r="M41" i="8"/>
  <c r="L41" i="8"/>
  <c r="K41" i="8"/>
  <c r="J41" i="8"/>
  <c r="I41" i="8"/>
  <c r="H41" i="8"/>
  <c r="C40" i="8"/>
  <c r="C39" i="8"/>
  <c r="V38" i="8"/>
  <c r="U38" i="8"/>
  <c r="U37" i="8" s="1"/>
  <c r="T38" i="8"/>
  <c r="T37" i="8" s="1"/>
  <c r="S38" i="8"/>
  <c r="S37" i="8" s="1"/>
  <c r="R38" i="8"/>
  <c r="R37" i="8" s="1"/>
  <c r="Q38" i="8"/>
  <c r="P38" i="8"/>
  <c r="P37" i="8" s="1"/>
  <c r="N38" i="8"/>
  <c r="N37" i="8" s="1"/>
  <c r="M38" i="8"/>
  <c r="M37" i="8" s="1"/>
  <c r="L38" i="8"/>
  <c r="L37" i="8" s="1"/>
  <c r="K38" i="8"/>
  <c r="K37" i="8" s="1"/>
  <c r="J38" i="8"/>
  <c r="J37" i="8" s="1"/>
  <c r="I38" i="8"/>
  <c r="H38" i="8"/>
  <c r="H37" i="8" s="1"/>
  <c r="G38" i="8"/>
  <c r="D37" i="8"/>
  <c r="C34" i="8"/>
  <c r="V24" i="8"/>
  <c r="U24" i="8"/>
  <c r="T24" i="8"/>
  <c r="Q24" i="8"/>
  <c r="P24" i="8"/>
  <c r="N24" i="8"/>
  <c r="M24" i="8"/>
  <c r="L24" i="8"/>
  <c r="K24" i="8"/>
  <c r="J24" i="8"/>
  <c r="I24" i="8"/>
  <c r="H24" i="8"/>
  <c r="G23" i="8"/>
  <c r="C23" i="8"/>
  <c r="C22" i="8"/>
  <c r="V21" i="8"/>
  <c r="U21" i="8"/>
  <c r="T21" i="8"/>
  <c r="T20" i="8" s="1"/>
  <c r="S21" i="8"/>
  <c r="R21" i="8"/>
  <c r="Q21" i="8"/>
  <c r="P21" i="8"/>
  <c r="P20" i="8" s="1"/>
  <c r="N21" i="8"/>
  <c r="M21" i="8"/>
  <c r="M20" i="8" s="1"/>
  <c r="L21" i="8"/>
  <c r="L127" i="8" s="1"/>
  <c r="K21" i="8"/>
  <c r="J21" i="8"/>
  <c r="I21" i="8"/>
  <c r="H21" i="8"/>
  <c r="H20" i="8" s="1"/>
  <c r="D20" i="8"/>
  <c r="C19" i="8"/>
  <c r="C15" i="8"/>
  <c r="V14" i="8"/>
  <c r="U14" i="8"/>
  <c r="T14" i="8"/>
  <c r="S14" i="8"/>
  <c r="R14" i="8"/>
  <c r="Q14" i="8"/>
  <c r="P14" i="8"/>
  <c r="N14" i="8"/>
  <c r="M14" i="8"/>
  <c r="L14" i="8"/>
  <c r="K14" i="8"/>
  <c r="J14" i="8"/>
  <c r="I14" i="8"/>
  <c r="H14" i="8"/>
  <c r="C13" i="8"/>
  <c r="C12" i="8"/>
  <c r="V11" i="8"/>
  <c r="U11" i="8"/>
  <c r="T11" i="8"/>
  <c r="S11" i="8"/>
  <c r="S10" i="8" s="1"/>
  <c r="R11" i="8"/>
  <c r="R10" i="8" s="1"/>
  <c r="Q11" i="8"/>
  <c r="Q10" i="8" s="1"/>
  <c r="P11" i="8"/>
  <c r="P10" i="8" s="1"/>
  <c r="N11" i="8"/>
  <c r="M11" i="8"/>
  <c r="L11" i="8"/>
  <c r="K11" i="8"/>
  <c r="J11" i="8"/>
  <c r="J10" i="8" s="1"/>
  <c r="I11" i="8"/>
  <c r="I10" i="8" s="1"/>
  <c r="H11" i="8"/>
  <c r="H10" i="8" s="1"/>
  <c r="G11" i="8"/>
  <c r="D10" i="8"/>
  <c r="D9" i="8"/>
  <c r="F14" i="6"/>
  <c r="G12" i="6"/>
  <c r="E13" i="6"/>
  <c r="G13" i="6" s="1"/>
  <c r="E10" i="6"/>
  <c r="E15" i="6"/>
  <c r="G15" i="6"/>
  <c r="D23" i="22"/>
  <c r="D23" i="3"/>
  <c r="L33" i="22"/>
  <c r="L32" i="22"/>
  <c r="L31" i="22"/>
  <c r="L30" i="22"/>
  <c r="L28" i="22"/>
  <c r="L27" i="22"/>
  <c r="L26" i="22"/>
  <c r="L24" i="22"/>
  <c r="L23" i="22"/>
  <c r="L22" i="22"/>
  <c r="L21" i="22"/>
  <c r="L20" i="22"/>
  <c r="L19" i="22"/>
  <c r="L18" i="22"/>
  <c r="L17" i="22"/>
  <c r="L16" i="22"/>
  <c r="L15" i="22"/>
  <c r="L14" i="22"/>
  <c r="L13" i="22"/>
  <c r="L12" i="22"/>
  <c r="L31" i="3"/>
  <c r="L30" i="3"/>
  <c r="H30" i="3" s="1"/>
  <c r="L28" i="3"/>
  <c r="L27" i="3"/>
  <c r="L26" i="3"/>
  <c r="L24" i="3"/>
  <c r="L23" i="3"/>
  <c r="L22" i="3"/>
  <c r="L21" i="3"/>
  <c r="L20" i="3"/>
  <c r="L19" i="3"/>
  <c r="L18" i="3"/>
  <c r="H18" i="3" s="1"/>
  <c r="L17" i="3"/>
  <c r="L16" i="3"/>
  <c r="L15" i="3"/>
  <c r="L14" i="3"/>
  <c r="L13" i="3"/>
  <c r="L12" i="3"/>
  <c r="L33" i="3"/>
  <c r="L32" i="3"/>
  <c r="C32" i="6"/>
  <c r="C40" i="6"/>
  <c r="C39" i="6"/>
  <c r="O40" i="6"/>
  <c r="I40" i="6" s="1"/>
  <c r="O39" i="6"/>
  <c r="O38" i="6"/>
  <c r="O33" i="6"/>
  <c r="O32" i="6"/>
  <c r="O31" i="6"/>
  <c r="O30" i="6"/>
  <c r="O29" i="6"/>
  <c r="O28" i="6"/>
  <c r="O23" i="6"/>
  <c r="O17" i="6"/>
  <c r="O9" i="6"/>
  <c r="P22" i="6"/>
  <c r="Q22" i="6"/>
  <c r="R22" i="6"/>
  <c r="O29" i="22"/>
  <c r="N25" i="22"/>
  <c r="N10" i="22" s="1"/>
  <c r="N9" i="22" s="1"/>
  <c r="M25" i="22"/>
  <c r="I11" i="3"/>
  <c r="J11" i="3"/>
  <c r="N25" i="3"/>
  <c r="M25" i="3"/>
  <c r="L25" i="3"/>
  <c r="D31" i="22"/>
  <c r="D29" i="22" s="1"/>
  <c r="D12" i="23" s="1"/>
  <c r="C31" i="22"/>
  <c r="C29" i="22" s="1"/>
  <c r="C12" i="23" s="1"/>
  <c r="N29" i="22"/>
  <c r="M29" i="22"/>
  <c r="O11" i="22"/>
  <c r="O10" i="22"/>
  <c r="O9" i="22" s="1"/>
  <c r="N11" i="22"/>
  <c r="M11" i="22"/>
  <c r="M10" i="22" s="1"/>
  <c r="O29" i="3"/>
  <c r="N29" i="3"/>
  <c r="M29" i="3"/>
  <c r="L29" i="3" s="1"/>
  <c r="O11" i="3"/>
  <c r="O10" i="3" s="1"/>
  <c r="O9" i="3" s="1"/>
  <c r="N11" i="3"/>
  <c r="N10" i="3" s="1"/>
  <c r="N9" i="3" s="1"/>
  <c r="L9" i="3" s="1"/>
  <c r="M11" i="3"/>
  <c r="R37" i="6"/>
  <c r="R16" i="6" s="1"/>
  <c r="R8" i="6" s="1"/>
  <c r="Q37" i="6"/>
  <c r="P37" i="6"/>
  <c r="O37" i="6" s="1"/>
  <c r="I37" i="6" s="1"/>
  <c r="D24" i="6"/>
  <c r="D25" i="6"/>
  <c r="D23" i="6" s="1"/>
  <c r="D17" i="23" s="1"/>
  <c r="D41" i="6"/>
  <c r="F41" i="6" s="1"/>
  <c r="D38" i="6"/>
  <c r="E29" i="6"/>
  <c r="I29" i="6" s="1"/>
  <c r="F32" i="3"/>
  <c r="F33" i="3"/>
  <c r="E31" i="3"/>
  <c r="D19" i="23"/>
  <c r="C19" i="23"/>
  <c r="D18" i="23"/>
  <c r="C18" i="23"/>
  <c r="C17" i="23"/>
  <c r="E9" i="6"/>
  <c r="D32" i="6"/>
  <c r="D9" i="6"/>
  <c r="D14" i="23" s="1"/>
  <c r="C38" i="6"/>
  <c r="C37" i="6"/>
  <c r="C18" i="6"/>
  <c r="C17" i="6" s="1"/>
  <c r="C9" i="6"/>
  <c r="C14" i="23" s="1"/>
  <c r="C11" i="23"/>
  <c r="D10" i="23"/>
  <c r="C10" i="23"/>
  <c r="D29" i="3"/>
  <c r="E40" i="6"/>
  <c r="F40" i="6" s="1"/>
  <c r="E39" i="6"/>
  <c r="E38" i="6"/>
  <c r="E36" i="6"/>
  <c r="E35" i="6"/>
  <c r="E34" i="6"/>
  <c r="E33" i="6"/>
  <c r="E32" i="6"/>
  <c r="H32" i="6" s="1"/>
  <c r="E31" i="6"/>
  <c r="F31" i="6" s="1"/>
  <c r="E30" i="6"/>
  <c r="F30" i="6" s="1"/>
  <c r="E28" i="6"/>
  <c r="H28" i="6" s="1"/>
  <c r="E27" i="6"/>
  <c r="F27" i="6" s="1"/>
  <c r="E26" i="6"/>
  <c r="F26" i="6" s="1"/>
  <c r="E25" i="6"/>
  <c r="E24" i="6"/>
  <c r="E23" i="6"/>
  <c r="I23" i="6" s="1"/>
  <c r="E21" i="6"/>
  <c r="E20" i="6"/>
  <c r="F20" i="6" s="1"/>
  <c r="E19" i="6"/>
  <c r="E18" i="6"/>
  <c r="E26" i="22"/>
  <c r="H26" i="22" s="1"/>
  <c r="E27" i="22"/>
  <c r="E28" i="22"/>
  <c r="D11" i="23" s="1"/>
  <c r="E31" i="22"/>
  <c r="E30" i="22"/>
  <c r="E29" i="22" s="1"/>
  <c r="E24" i="22"/>
  <c r="F24" i="22" s="1"/>
  <c r="E23" i="22"/>
  <c r="F23" i="22" s="1"/>
  <c r="E22" i="22"/>
  <c r="G22" i="22" s="1"/>
  <c r="E21" i="22"/>
  <c r="F21" i="22" s="1"/>
  <c r="E20" i="22"/>
  <c r="G20" i="22" s="1"/>
  <c r="E19" i="22"/>
  <c r="E18" i="22"/>
  <c r="F18" i="22" s="1"/>
  <c r="E17" i="22"/>
  <c r="F17" i="22" s="1"/>
  <c r="E16" i="22"/>
  <c r="F16" i="22" s="1"/>
  <c r="E15" i="22"/>
  <c r="F15" i="22" s="1"/>
  <c r="E14" i="22"/>
  <c r="F14" i="22" s="1"/>
  <c r="E13" i="22"/>
  <c r="E30" i="3"/>
  <c r="F30" i="3" s="1"/>
  <c r="E28" i="3"/>
  <c r="H28" i="3" s="1"/>
  <c r="E27" i="3"/>
  <c r="E26" i="3"/>
  <c r="H26" i="3" s="1"/>
  <c r="E24" i="3"/>
  <c r="F24" i="3" s="1"/>
  <c r="H24" i="3"/>
  <c r="E23" i="3"/>
  <c r="G23" i="3"/>
  <c r="E22" i="3"/>
  <c r="G22" i="3" s="1"/>
  <c r="E21" i="3"/>
  <c r="G21" i="3" s="1"/>
  <c r="E20" i="3"/>
  <c r="G20" i="3" s="1"/>
  <c r="E19" i="3"/>
  <c r="H19" i="3" s="1"/>
  <c r="E18" i="3"/>
  <c r="G18" i="3" s="1"/>
  <c r="F18" i="3"/>
  <c r="E17" i="3"/>
  <c r="G17" i="3" s="1"/>
  <c r="F17" i="3"/>
  <c r="E16" i="3"/>
  <c r="F16" i="3" s="1"/>
  <c r="E15" i="3"/>
  <c r="G15" i="3" s="1"/>
  <c r="E14" i="3"/>
  <c r="G14" i="3" s="1"/>
  <c r="E13" i="3"/>
  <c r="M37" i="6"/>
  <c r="N37" i="6"/>
  <c r="L37" i="6"/>
  <c r="E37" i="6" s="1"/>
  <c r="H37" i="6" s="1"/>
  <c r="M17" i="6"/>
  <c r="N17" i="6"/>
  <c r="J25" i="22"/>
  <c r="E25" i="22" s="1"/>
  <c r="F25" i="22" s="1"/>
  <c r="I29" i="3"/>
  <c r="I25" i="3"/>
  <c r="J29" i="3"/>
  <c r="L22" i="6"/>
  <c r="M22" i="6"/>
  <c r="N22" i="6"/>
  <c r="I29" i="22"/>
  <c r="J29" i="22"/>
  <c r="J25" i="3"/>
  <c r="E25" i="3" s="1"/>
  <c r="G25" i="3" s="1"/>
  <c r="K12" i="3"/>
  <c r="C19" i="3"/>
  <c r="C11" i="3"/>
  <c r="K29" i="3"/>
  <c r="K12" i="22"/>
  <c r="E12" i="22" s="1"/>
  <c r="K29" i="22"/>
  <c r="J11" i="22"/>
  <c r="I11" i="22"/>
  <c r="I10" i="22" s="1"/>
  <c r="I9" i="22" s="1"/>
  <c r="K33" i="6"/>
  <c r="K23" i="6"/>
  <c r="K32" i="6"/>
  <c r="K22" i="6"/>
  <c r="K18" i="6"/>
  <c r="K17" i="6" s="1"/>
  <c r="J24" i="6"/>
  <c r="J22" i="6" s="1"/>
  <c r="J23" i="6"/>
  <c r="J37" i="6"/>
  <c r="J18" i="6"/>
  <c r="J17" i="6" s="1"/>
  <c r="D17" i="6"/>
  <c r="C16" i="22"/>
  <c r="C12" i="22"/>
  <c r="C11" i="22" s="1"/>
  <c r="C51" i="22"/>
  <c r="C29" i="3"/>
  <c r="D11" i="22"/>
  <c r="D11" i="3"/>
  <c r="D10" i="3"/>
  <c r="D9" i="3" s="1"/>
  <c r="D7" i="23"/>
  <c r="L29" i="22"/>
  <c r="C99" i="8"/>
  <c r="G16" i="3"/>
  <c r="F14" i="3"/>
  <c r="G18" i="22"/>
  <c r="H40" i="6"/>
  <c r="G24" i="3"/>
  <c r="F15" i="3"/>
  <c r="H23" i="6"/>
  <c r="I32" i="6"/>
  <c r="I39" i="6"/>
  <c r="H17" i="3"/>
  <c r="I28" i="6"/>
  <c r="I38" i="6"/>
  <c r="H38" i="6"/>
  <c r="J10" i="3"/>
  <c r="J9" i="3" s="1"/>
  <c r="L11" i="22"/>
  <c r="H25" i="3"/>
  <c r="H16" i="3"/>
  <c r="F31" i="3"/>
  <c r="M10" i="3"/>
  <c r="H31" i="3"/>
  <c r="G30" i="3"/>
  <c r="G19" i="22"/>
  <c r="M9" i="22"/>
  <c r="C10" i="22"/>
  <c r="C9" i="22" s="1"/>
  <c r="G25" i="22"/>
  <c r="J10" i="22"/>
  <c r="J9" i="22" s="1"/>
  <c r="G16" i="22"/>
  <c r="G30" i="22"/>
  <c r="D10" i="22"/>
  <c r="D9" i="23" s="1"/>
  <c r="H30" i="22"/>
  <c r="G65" i="8"/>
  <c r="O46" i="8"/>
  <c r="H118" i="8"/>
  <c r="N10" i="8"/>
  <c r="C103" i="8"/>
  <c r="C115" i="8"/>
  <c r="H86" i="8"/>
  <c r="L10" i="8"/>
  <c r="G61" i="8"/>
  <c r="R65" i="8"/>
  <c r="T10" i="8"/>
  <c r="V10" i="8"/>
  <c r="M47" i="8"/>
  <c r="N66" i="8"/>
  <c r="O127" i="8"/>
  <c r="H65" i="8"/>
  <c r="G14" i="8"/>
  <c r="G10" i="8" s="1"/>
  <c r="L20" i="8"/>
  <c r="R29" i="8"/>
  <c r="C29" i="8" s="1"/>
  <c r="C118" i="8"/>
  <c r="M65" i="8"/>
  <c r="L65" i="8"/>
  <c r="L61" i="8" s="1"/>
  <c r="M10" i="8"/>
  <c r="C74" i="8"/>
  <c r="C11" i="8"/>
  <c r="H94" i="8"/>
  <c r="C94" i="8" s="1"/>
  <c r="K10" i="8"/>
  <c r="C111" i="8"/>
  <c r="V37" i="8"/>
  <c r="N71" i="8"/>
  <c r="G21" i="8"/>
  <c r="C114" i="8"/>
  <c r="I37" i="8"/>
  <c r="Q37" i="8"/>
  <c r="Q20" i="8"/>
  <c r="J47" i="8"/>
  <c r="T127" i="8"/>
  <c r="P127" i="8"/>
  <c r="M9" i="3"/>
  <c r="W9" i="8"/>
  <c r="S46" i="8" l="1"/>
  <c r="G127" i="8"/>
  <c r="K127" i="8"/>
  <c r="R127" i="8"/>
  <c r="H61" i="8"/>
  <c r="U61" i="8"/>
  <c r="C86" i="8"/>
  <c r="C102" i="8"/>
  <c r="C106" i="8"/>
  <c r="C110" i="8"/>
  <c r="T46" i="8"/>
  <c r="C25" i="8"/>
  <c r="G37" i="8"/>
  <c r="I128" i="8"/>
  <c r="K61" i="8"/>
  <c r="K128" i="8"/>
  <c r="T128" i="8"/>
  <c r="R46" i="8"/>
  <c r="M61" i="8"/>
  <c r="Q61" i="8"/>
  <c r="C21" i="8"/>
  <c r="J127" i="8"/>
  <c r="C38" i="8"/>
  <c r="N65" i="8"/>
  <c r="N61" i="8" s="1"/>
  <c r="H127" i="8"/>
  <c r="S127" i="8"/>
  <c r="K46" i="8"/>
  <c r="S65" i="8"/>
  <c r="S61" i="8" s="1"/>
  <c r="T9" i="8"/>
  <c r="T129" i="8" s="1"/>
  <c r="E12" i="3"/>
  <c r="K11" i="3"/>
  <c r="K10" i="3" s="1"/>
  <c r="K9" i="3" s="1"/>
  <c r="G13" i="3"/>
  <c r="H13" i="3"/>
  <c r="F13" i="22"/>
  <c r="H13" i="22"/>
  <c r="F19" i="22"/>
  <c r="H19" i="22"/>
  <c r="H9" i="6"/>
  <c r="I9" i="6"/>
  <c r="G31" i="3"/>
  <c r="E29" i="3"/>
  <c r="H29" i="3" s="1"/>
  <c r="F38" i="6"/>
  <c r="D37" i="6"/>
  <c r="F37" i="6" s="1"/>
  <c r="U10" i="8"/>
  <c r="I20" i="8"/>
  <c r="K20" i="8"/>
  <c r="K9" i="8" s="1"/>
  <c r="K129" i="8" s="1"/>
  <c r="V20" i="8"/>
  <c r="Q128" i="8"/>
  <c r="C47" i="8"/>
  <c r="I127" i="8"/>
  <c r="C73" i="8"/>
  <c r="P71" i="8"/>
  <c r="P65" i="8" s="1"/>
  <c r="P61" i="8" s="1"/>
  <c r="C64" i="8"/>
  <c r="Q127" i="8"/>
  <c r="C62" i="8"/>
  <c r="G46" i="8"/>
  <c r="C41" i="8"/>
  <c r="C71" i="8"/>
  <c r="I46" i="8"/>
  <c r="I61" i="8"/>
  <c r="R24" i="8"/>
  <c r="R20" i="8" s="1"/>
  <c r="G20" i="8"/>
  <c r="G9" i="8" s="1"/>
  <c r="C43" i="8"/>
  <c r="D8" i="23"/>
  <c r="C9" i="23"/>
  <c r="C8" i="23" s="1"/>
  <c r="F13" i="3"/>
  <c r="G19" i="3"/>
  <c r="H18" i="6"/>
  <c r="F25" i="6"/>
  <c r="F39" i="6"/>
  <c r="H39" i="6"/>
  <c r="I14" i="6"/>
  <c r="P16" i="6"/>
  <c r="P8" i="6" s="1"/>
  <c r="I30" i="6"/>
  <c r="F10" i="6"/>
  <c r="F9" i="6" s="1"/>
  <c r="G10" i="6"/>
  <c r="F32" i="6"/>
  <c r="C69" i="8"/>
  <c r="O66" i="8"/>
  <c r="O65" i="8" s="1"/>
  <c r="K16" i="6"/>
  <c r="K8" i="6" s="1"/>
  <c r="C10" i="3"/>
  <c r="C9" i="3" s="1"/>
  <c r="C7" i="23" s="1"/>
  <c r="I10" i="3"/>
  <c r="I9" i="3" s="1"/>
  <c r="F23" i="3"/>
  <c r="H27" i="3"/>
  <c r="F29" i="3"/>
  <c r="G31" i="22"/>
  <c r="H27" i="22"/>
  <c r="D22" i="6"/>
  <c r="D16" i="6" s="1"/>
  <c r="L11" i="3"/>
  <c r="L25" i="22"/>
  <c r="H25" i="22" s="1"/>
  <c r="O22" i="6"/>
  <c r="I31" i="6"/>
  <c r="I33" i="6"/>
  <c r="M127" i="8"/>
  <c r="N127" i="8"/>
  <c r="J20" i="8"/>
  <c r="U20" i="8"/>
  <c r="C49" i="8"/>
  <c r="C129" i="8"/>
  <c r="D129" i="8" s="1"/>
  <c r="R61" i="8"/>
  <c r="C82" i="8"/>
  <c r="C98" i="8"/>
  <c r="C22" i="6"/>
  <c r="C16" i="6" s="1"/>
  <c r="C8" i="6" s="1"/>
  <c r="L128" i="8"/>
  <c r="Q46" i="8"/>
  <c r="J53" i="8"/>
  <c r="C66" i="8"/>
  <c r="E22" i="6"/>
  <c r="N16" i="6"/>
  <c r="N8" i="6" s="1"/>
  <c r="M16" i="6"/>
  <c r="M8" i="6" s="1"/>
  <c r="F22" i="6"/>
  <c r="D34" i="6"/>
  <c r="F34" i="6" s="1"/>
  <c r="C24" i="8"/>
  <c r="C14" i="8"/>
  <c r="F18" i="6"/>
  <c r="L9" i="22"/>
  <c r="P46" i="8"/>
  <c r="P9" i="8" s="1"/>
  <c r="S20" i="8"/>
  <c r="C10" i="8"/>
  <c r="D35" i="6" s="1"/>
  <c r="F35" i="6" s="1"/>
  <c r="J16" i="6"/>
  <c r="J8" i="6" s="1"/>
  <c r="D46" i="8"/>
  <c r="V46" i="8"/>
  <c r="S9" i="8"/>
  <c r="L10" i="22"/>
  <c r="L46" i="8"/>
  <c r="L9" i="8" s="1"/>
  <c r="L129" i="8" s="1"/>
  <c r="U128" i="8"/>
  <c r="U46" i="8"/>
  <c r="G29" i="22"/>
  <c r="H29" i="22"/>
  <c r="C37" i="8"/>
  <c r="D36" i="6" s="1"/>
  <c r="F36" i="6" s="1"/>
  <c r="F12" i="22"/>
  <c r="F11" i="22" s="1"/>
  <c r="H12" i="22"/>
  <c r="G12" i="22"/>
  <c r="E11" i="22"/>
  <c r="C15" i="23"/>
  <c r="C13" i="23" s="1"/>
  <c r="N128" i="8"/>
  <c r="N46" i="8"/>
  <c r="M52" i="8"/>
  <c r="M50" i="8" s="1"/>
  <c r="C57" i="8"/>
  <c r="I22" i="6"/>
  <c r="H23" i="3"/>
  <c r="N20" i="8"/>
  <c r="F24" i="6"/>
  <c r="H14" i="3"/>
  <c r="H31" i="22"/>
  <c r="F23" i="6"/>
  <c r="F26" i="22"/>
  <c r="F19" i="3"/>
  <c r="H16" i="22"/>
  <c r="F22" i="22"/>
  <c r="H90" i="8"/>
  <c r="H9" i="8" s="1"/>
  <c r="F31" i="22"/>
  <c r="G128" i="8"/>
  <c r="F25" i="3"/>
  <c r="G23" i="22"/>
  <c r="Q16" i="6"/>
  <c r="E17" i="6"/>
  <c r="F17" i="6" s="1"/>
  <c r="L10" i="3"/>
  <c r="C107" i="8"/>
  <c r="F30" i="22"/>
  <c r="K11" i="22"/>
  <c r="K10" i="22" s="1"/>
  <c r="K9" i="22" s="1"/>
  <c r="G13" i="22"/>
  <c r="H18" i="22"/>
  <c r="D9" i="22"/>
  <c r="F29" i="6"/>
  <c r="L16" i="6"/>
  <c r="L8" i="6" s="1"/>
  <c r="F20" i="22"/>
  <c r="S128" i="8" l="1"/>
  <c r="P128" i="8"/>
  <c r="Q9" i="8"/>
  <c r="Q129" i="8" s="1"/>
  <c r="R9" i="8"/>
  <c r="V9" i="8"/>
  <c r="R128" i="8"/>
  <c r="R129" i="8" s="1"/>
  <c r="U9" i="8"/>
  <c r="U129" i="8" s="1"/>
  <c r="C127" i="8"/>
  <c r="O61" i="8"/>
  <c r="O128" i="8"/>
  <c r="I9" i="8"/>
  <c r="I129" i="8" s="1"/>
  <c r="F16" i="6"/>
  <c r="F8" i="6" s="1"/>
  <c r="H22" i="6"/>
  <c r="P129" i="8"/>
  <c r="S129" i="8"/>
  <c r="J52" i="8"/>
  <c r="J50" i="8" s="1"/>
  <c r="C53" i="8"/>
  <c r="C52" i="8" s="1"/>
  <c r="C50" i="8" s="1"/>
  <c r="G29" i="3"/>
  <c r="C65" i="8"/>
  <c r="G12" i="3"/>
  <c r="E11" i="3"/>
  <c r="H12" i="3"/>
  <c r="F12" i="3"/>
  <c r="F11" i="3" s="1"/>
  <c r="F10" i="3" s="1"/>
  <c r="F9" i="3" s="1"/>
  <c r="C20" i="8"/>
  <c r="G129" i="8"/>
  <c r="M46" i="8"/>
  <c r="M9" i="8" s="1"/>
  <c r="M128" i="8"/>
  <c r="C90" i="8"/>
  <c r="H128" i="8"/>
  <c r="F29" i="22"/>
  <c r="E10" i="22"/>
  <c r="H11" i="22"/>
  <c r="G11" i="22"/>
  <c r="H129" i="8"/>
  <c r="D8" i="6"/>
  <c r="D15" i="23"/>
  <c r="D13" i="23" s="1"/>
  <c r="N9" i="8"/>
  <c r="N129" i="8" s="1"/>
  <c r="O16" i="6"/>
  <c r="Q8" i="6"/>
  <c r="O8" i="6" s="1"/>
  <c r="I17" i="6"/>
  <c r="E16" i="6"/>
  <c r="H17" i="6"/>
  <c r="F10" i="22"/>
  <c r="F9" i="22" s="1"/>
  <c r="G11" i="3" l="1"/>
  <c r="E10" i="3"/>
  <c r="H11" i="3"/>
  <c r="J128" i="8"/>
  <c r="C128" i="8" s="1"/>
  <c r="C130" i="8" s="1"/>
  <c r="J46" i="8"/>
  <c r="O9" i="8"/>
  <c r="O129" i="8" s="1"/>
  <c r="C61" i="8"/>
  <c r="E9" i="22"/>
  <c r="H10" i="22"/>
  <c r="G10" i="22"/>
  <c r="E8" i="6"/>
  <c r="H16" i="6"/>
  <c r="I16" i="6"/>
  <c r="G16" i="6"/>
  <c r="M129" i="8"/>
  <c r="J9" i="8" l="1"/>
  <c r="J129" i="8" s="1"/>
  <c r="C46" i="8"/>
  <c r="C9" i="8" s="1"/>
  <c r="E9" i="3"/>
  <c r="G10" i="3"/>
  <c r="H10" i="3"/>
  <c r="G9" i="22"/>
  <c r="H9" i="22"/>
  <c r="H8" i="6"/>
  <c r="I8" i="6"/>
  <c r="G3" i="6"/>
  <c r="H9" i="3" l="1"/>
  <c r="G9" i="3"/>
</calcChain>
</file>

<file path=xl/comments1.xml><?xml version="1.0" encoding="utf-8"?>
<comments xmlns="http://schemas.openxmlformats.org/spreadsheetml/2006/main">
  <authors>
    <author>User</author>
  </authors>
  <commentList>
    <comment ref="D25" authorId="0" shapeId="0">
      <text>
        <r>
          <rPr>
            <sz val="9"/>
            <color indexed="81"/>
            <rFont val="Tahoma"/>
            <family val="2"/>
          </rPr>
          <t>* Nợ QĐCÍ 30/6: 822,762tr</t>
        </r>
        <r>
          <rPr>
            <sz val="9"/>
            <color indexed="81"/>
            <rFont val="Tahoma"/>
            <family val="2"/>
          </rPr>
          <t xml:space="preserve">
- T-Phú:             551,162tr
- B-Tường:         271,600tr</t>
        </r>
      </text>
    </comment>
  </commentList>
</comments>
</file>

<file path=xl/comments2.xml><?xml version="1.0" encoding="utf-8"?>
<comments xmlns="http://schemas.openxmlformats.org/spreadsheetml/2006/main">
  <authors>
    <author>Le Phung</author>
    <author>User</author>
  </authors>
  <commentList>
    <comment ref="D9" authorId="0" shapeId="0">
      <text>
        <r>
          <rPr>
            <sz val="8"/>
            <color indexed="81"/>
            <rFont val="Tahoma"/>
            <family val="2"/>
          </rPr>
          <t xml:space="preserve">- Tỉnh bổ sung thực hiện các dự án công trình bàn giao về xã (chi tiết danh mục kèm theo) 12.893 tỷ
- Thu tiền SDĐ:           22tỷ
</t>
        </r>
      </text>
    </comment>
    <comment ref="E9" authorId="0" shapeId="0">
      <text>
        <r>
          <rPr>
            <sz val="8"/>
            <color indexed="81"/>
            <rFont val="Tahoma"/>
            <family val="2"/>
          </rPr>
          <t xml:space="preserve">- Tỉnh bổ sung thực hiện các dự án công trình bàn giao về xã (chi tiết danh mục kèm theo) 12.893 tỷ
- Thu tiền SDĐ:           22tỷ
</t>
        </r>
      </text>
    </comment>
    <comment ref="F9" authorId="0" shapeId="0">
      <text>
        <r>
          <rPr>
            <sz val="8"/>
            <color indexed="81"/>
            <rFont val="Tahoma"/>
            <family val="2"/>
          </rPr>
          <t xml:space="preserve">- Tỉnh bổ sung thực hiện các dự án công trình bàn giao về xã (chi tiết danh mục kèm theo) 12.893 tỷ
- Thu tiền SDĐ:           22tỷ
</t>
        </r>
      </text>
    </comment>
    <comment ref="J9" authorId="0" shapeId="0">
      <text>
        <r>
          <rPr>
            <sz val="8"/>
            <color indexed="81"/>
            <rFont val="Tahoma"/>
            <family val="2"/>
          </rPr>
          <t xml:space="preserve">- Tỉnh bổ sung thực hiện các dự án công trình bàn giao về xã (chi tiết danh mục kèm theo) 12.893 tỷ
- Thu tiền SDĐ:           22tỷ
</t>
        </r>
      </text>
    </comment>
    <comment ref="D14" authorId="1" shapeId="0">
      <text>
        <r>
          <rPr>
            <sz val="9"/>
            <color indexed="81"/>
            <rFont val="Tahoma"/>
            <family val="2"/>
          </rPr>
          <t xml:space="preserve">- Số BS 6T: 3.357tr
- DMKHV: 3.013tr
</t>
        </r>
      </text>
    </comment>
    <comment ref="C17" authorId="1" shapeId="0">
      <text>
        <r>
          <rPr>
            <sz val="9"/>
            <color indexed="81"/>
            <rFont val="Tahoma"/>
            <family val="2"/>
          </rPr>
          <t xml:space="preserve">- BSMT NSH giao (Hoạt động bảo vệ đê nhên dân): 84,24tr
</t>
        </r>
      </text>
    </comment>
    <comment ref="C18" authorId="1" shapeId="0">
      <text>
        <r>
          <rPr>
            <sz val="9"/>
            <color indexed="81"/>
            <rFont val="Tahoma"/>
            <family val="2"/>
          </rPr>
          <t>- NST BS TLP: 194tr
- BV đê: 84,24tr</t>
        </r>
      </text>
    </comment>
    <comment ref="K18" authorId="1" shapeId="0">
      <text>
        <r>
          <rPr>
            <sz val="9"/>
            <color indexed="81"/>
            <rFont val="Tahoma"/>
            <family val="2"/>
          </rPr>
          <t xml:space="preserve">- KP cấp bù TLP: 194tr
</t>
        </r>
      </text>
    </comment>
    <comment ref="C20" authorId="1" shapeId="0">
      <text>
        <r>
          <rPr>
            <sz val="9"/>
            <color indexed="81"/>
            <rFont val="Tahoma"/>
            <family val="2"/>
          </rPr>
          <t xml:space="preserve">- NST BS sau sáp nhập: 400tr
</t>
        </r>
      </text>
    </comment>
    <comment ref="D21" authorId="1" shapeId="0">
      <text>
        <r>
          <rPr>
            <sz val="9"/>
            <color indexed="81"/>
            <rFont val="Tahoma"/>
            <family val="2"/>
          </rPr>
          <t xml:space="preserve">Vốn SN thực hiện các CTMTQG
</t>
        </r>
      </text>
    </comment>
    <comment ref="C28" authorId="1" shapeId="0">
      <text>
        <r>
          <rPr>
            <sz val="9"/>
            <color indexed="81"/>
            <rFont val="Tahoma"/>
            <family val="2"/>
          </rPr>
          <t>- BSMT NSH đầu năm: 900tr
- NST BS sau sáp nhập:2.383tr</t>
        </r>
      </text>
    </comment>
    <comment ref="C32" authorId="1" shapeId="0">
      <text>
        <r>
          <rPr>
            <sz val="9"/>
            <color indexed="81"/>
            <rFont val="Tahoma"/>
            <family val="2"/>
          </rPr>
          <t>- NST BS sau sáp nhập:
+ Kinh phí hỗ trợ các đối tượng bảo trợ xã hội thuộc diện hộ nghèo, hộ cận nghèo được hỗ trợ thêm 180.000 đồng/người/tháng đối tượng bảo trợ theo điểm b, khoản 2 Điều 1 Nghị quyết số 11/2024/NQ-HĐND ngày 12/7/2024 của HĐND tỉnh: 249tr
+ Kinh phí thực hiện các chính sách trợ giúp xã hội đối với đối tượng bảo trợ xã hội theo quy định tại Nghị định số 76/2024/NĐ-CP ngày 01/7/2024 của Chính phủ: 4.635tr
+ Tiền điện hộ nghèo và hộ chính sách (2): 162tr</t>
        </r>
      </text>
    </comment>
    <comment ref="K32" authorId="1" shapeId="0">
      <text>
        <r>
          <rPr>
            <sz val="9"/>
            <color indexed="81"/>
            <rFont val="Tahoma"/>
            <family val="2"/>
          </rPr>
          <t>- Tiền điện hộ nghèo: 162tr
- Hỗ trợ các đối tượng bảo trợ xã hội thuộc diện hộ nghèo, hộ cận nghèo được hỗ trợ thêm 180.000 đồng/người/tháng đối tượng bảo trợ theo điểm b, khoản 2 Điều 1 Nghị quyết số 11/2024/NQ-HĐND ngày 12/7/2024 của HĐND tỉnh: 249tr.
-Kinh phí thực hiện các chính sách trợ giúp xã hội đối với đối tượng bảo trợ xã hội theo quy định tại Nghị định số 76/2024/nĐ-CP ngày 01/7/2024 của Chính phủ: 4.635tr
- BSMT 6 tháng đầu năm: 1.654,957tr</t>
        </r>
      </text>
    </comment>
    <comment ref="C33" authorId="1" shapeId="0">
      <text>
        <r>
          <rPr>
            <sz val="9"/>
            <color indexed="81"/>
            <rFont val="Tahoma"/>
            <family val="2"/>
          </rPr>
          <t>- Từ BSMT NSH giao đầu năm tăng lương cơ sở: 7.523,208tr
- Kinh phí hoạt động đối với các tổ chức chính trị - xã hội cấp xã tăng thêm (do tăng mức lương cơ sở 1,8 lên 2,34) và kinh phí hoạt động Ban Công tác Mặt trận, Chi đoàn Thanh niên Cộng sản Hồ Chí Minh, Chi hội Phụ nữ, Chi hội Nông dân, Chi hội Cựu chiến binh ở thôn, khu phố (mỗi thôn 5 triệu đồng): 122,2tr
- KP CBCC huyện chuyển về: 4.104tr
- Hỗ trợ chi hoạt  động chung của UBND cấp xã (2): 200tr
- BS Đại hội Đảng: 720tr</t>
        </r>
      </text>
    </comment>
    <comment ref="J33" authorId="1" shapeId="0">
      <text>
        <r>
          <rPr>
            <sz val="9"/>
            <color indexed="81"/>
            <rFont val="Tahoma"/>
            <family val="2"/>
          </rPr>
          <t xml:space="preserve">- Giảm kinh phí Đại hội Đảng giao DT đầu năm 430tr
</t>
        </r>
      </text>
    </comment>
    <comment ref="K33" authorId="1" shapeId="0">
      <text>
        <r>
          <rPr>
            <sz val="9"/>
            <color indexed="81"/>
            <rFont val="Tahoma"/>
            <family val="2"/>
          </rPr>
          <t>- KP CBCC, viên chức cấp huyện chuyển về cấp xã: 4.104 tr.
- KP chi hoạt động chung của UBND cấp xã: 200tr
- Kinh phí tổ chức Đại hội Đảng: 720tr.</t>
        </r>
      </text>
    </comment>
    <comment ref="C38" authorId="1" shapeId="0">
      <text>
        <r>
          <rPr>
            <sz val="9"/>
            <color indexed="81"/>
            <rFont val="Tahoma"/>
            <family val="2"/>
          </rPr>
          <t xml:space="preserve">- NSH 
</t>
        </r>
      </text>
    </comment>
    <comment ref="C40" authorId="1" shapeId="0">
      <text>
        <r>
          <rPr>
            <sz val="9"/>
            <color indexed="81"/>
            <rFont val="Tahoma"/>
            <family val="2"/>
          </rPr>
          <t xml:space="preserve">Chuyển từ DT chi QLHC xuống 2.332,795 tr
</t>
        </r>
      </text>
    </comment>
    <comment ref="D40" authorId="1" shapeId="0">
      <text>
        <r>
          <rPr>
            <sz val="9"/>
            <color indexed="81"/>
            <rFont val="Tahoma"/>
            <family val="2"/>
          </rPr>
          <t xml:space="preserve">Chuyển từ DT chi QLHC xuống 1.332,795 tr
</t>
        </r>
      </text>
    </comment>
    <comment ref="D41" authorId="1" shapeId="0">
      <text>
        <r>
          <rPr>
            <sz val="9"/>
            <color indexed="81"/>
            <rFont val="Tahoma"/>
            <family val="2"/>
          </rPr>
          <t>TP: 36,121tr+VA 213,478tr</t>
        </r>
        <r>
          <rPr>
            <sz val="9"/>
            <color indexed="81"/>
            <rFont val="Tahoma"/>
            <family val="2"/>
          </rPr>
          <t xml:space="preserve">
</t>
        </r>
      </text>
    </comment>
  </commentList>
</comments>
</file>

<file path=xl/comments3.xml><?xml version="1.0" encoding="utf-8"?>
<comments xmlns="http://schemas.openxmlformats.org/spreadsheetml/2006/main">
  <authors>
    <author>User</author>
  </authors>
  <commentList>
    <comment ref="G18" authorId="0" shapeId="0">
      <text>
        <r>
          <rPr>
            <sz val="9"/>
            <rFont val="Tahoma"/>
            <family val="2"/>
          </rPr>
          <t xml:space="preserve">NST BS 720tr, NSA 80tr
</t>
        </r>
      </text>
    </comment>
    <comment ref="G80" authorId="0" shapeId="0">
      <text>
        <r>
          <rPr>
            <sz val="9"/>
            <rFont val="Tahoma"/>
            <family val="2"/>
          </rPr>
          <t xml:space="preserve">NST BS 720tr, NSA 80tr
</t>
        </r>
      </text>
    </comment>
    <comment ref="G122" authorId="0" shapeId="0">
      <text>
        <r>
          <rPr>
            <sz val="9"/>
            <rFont val="Tahoma"/>
            <family val="2"/>
          </rPr>
          <t>Trđó:  Nguồn 13: 786,964tr (BT 167,658tr + VA 619,308)</t>
        </r>
      </text>
    </comment>
    <comment ref="U122" authorId="0" shapeId="0">
      <text>
        <r>
          <rPr>
            <sz val="9"/>
            <rFont val="Tahoma"/>
            <family val="2"/>
          </rPr>
          <t>Trđó: Chuyển nguồn KP thực hiện CCTL: 574,689tr (TP 361,211+VA 213,478)</t>
        </r>
        <r>
          <rPr>
            <sz val="9"/>
            <rFont val="Tahoma"/>
            <family val="2"/>
          </rPr>
          <t xml:space="preserve">
</t>
        </r>
      </text>
    </comment>
  </commentList>
</comments>
</file>

<file path=xl/sharedStrings.xml><?xml version="1.0" encoding="utf-8"?>
<sst xmlns="http://schemas.openxmlformats.org/spreadsheetml/2006/main" count="497" uniqueCount="228">
  <si>
    <t>IV</t>
  </si>
  <si>
    <t>Số TT</t>
  </si>
  <si>
    <t>-</t>
  </si>
  <si>
    <t>STT</t>
  </si>
  <si>
    <t>I</t>
  </si>
  <si>
    <t>Sự nghiệp khoa học công nghệ</t>
  </si>
  <si>
    <t>II</t>
  </si>
  <si>
    <t>III</t>
  </si>
  <si>
    <t>Đvt: 1.000 đồng</t>
  </si>
  <si>
    <t xml:space="preserve">    Đvt: 1.000đồng</t>
  </si>
  <si>
    <t>Sự nghiệp đào tạo</t>
  </si>
  <si>
    <t>Sự nghiệp đảm bảo xã hội</t>
  </si>
  <si>
    <t>Phụ lục số 01</t>
  </si>
  <si>
    <t>Nội dung thu</t>
  </si>
  <si>
    <t>Ghi chú</t>
  </si>
  <si>
    <t>Tỉnh giao</t>
  </si>
  <si>
    <t>Nội dung chi</t>
  </si>
  <si>
    <t>Tên đơn vị</t>
  </si>
  <si>
    <t>Tổng cộng</t>
  </si>
  <si>
    <t>Chi đầu tư 
phát triển và công tác quy hoạch</t>
  </si>
  <si>
    <t>Trong đó</t>
  </si>
  <si>
    <t>Chi thường xuyên</t>
  </si>
  <si>
    <t>Chi đầu tư XDCB</t>
  </si>
  <si>
    <t>Chi quy hoạch</t>
  </si>
  <si>
    <t>Chi hành chính, Đảng, Đoàn thể</t>
  </si>
  <si>
    <t xml:space="preserve">              Chi sự nghiệp</t>
  </si>
  <si>
    <t>Sự nghiệp
 giáo dục</t>
  </si>
  <si>
    <t>Chi khác</t>
  </si>
  <si>
    <t>Dự phòng chi</t>
  </si>
  <si>
    <t xml:space="preserve">              Đvt: 1.000 đồng</t>
  </si>
  <si>
    <t>Sự nghiệp bảo vệ môi trường</t>
  </si>
  <si>
    <t>Dự toán năm 2025</t>
  </si>
  <si>
    <t>1. Chi đầu tư các danh mục cấp huyện bàn giao về xã (chi tiết danh mục phục lục số 09 kèm theo) (1)</t>
  </si>
  <si>
    <t>2. Bổ sung kinh phí cho các trường thuộc xã quản lý (2)</t>
  </si>
  <si>
    <t>3. Bổ sung kinh phí cho cán bộ, công chức, viên chức cấp huyện chuyển về cấp xã (chi tiết phụ lục số 10 kèm theo) (2)</t>
  </si>
  <si>
    <t>4. Hỗ trợ chi hoạt động chung của UBND cấp xã (2)</t>
  </si>
  <si>
    <t>5. Bổ sung kinh phí thực hiện các nhiệm vụ kiến thiết thị chính, kinh tế khác từ cấp huyện về xã (2)</t>
  </si>
  <si>
    <t>6. Tiền điện hộ nghèo và hộ chính sách (2)</t>
  </si>
  <si>
    <t>7. Kinh phí cấp bù thủy lợi phí (2)</t>
  </si>
  <si>
    <t>8. Hỗ trợ kinh phí tổ chức Đại hội Đảng (2)</t>
  </si>
  <si>
    <t>9. Bổ sung thực hiện các mục tiêu đã được HĐND cấp huyện giao dự toán đầu năm 2025 (không bao gồm kinh phí hỗ trợ Đại hội Đảng)</t>
  </si>
  <si>
    <t>10. Hỗ trợ các đối tượng bảo trợ xã hội thuộc diện hộ nghèo, hộ cận nghèo được hỗ trợ thêm 180.000 đồng/người/tháng đối tượng bảo trợ theo điểm b, khoản 2 Điều 1 Nghị quyết số 11/2024/NQ-HĐND ngày 12/7/2024 của HĐND tỉnh</t>
  </si>
  <si>
    <t>11. Kinh phí thực hiện các chính sách trợ giúp xã hội đối với đối tượng bảo trợ xã hội theo quy định tại Nghị định số 76/2024/nĐ-CP ngày 01/7/2024 của Chính phủ</t>
  </si>
  <si>
    <t>12. Bổ sung kinh phí cho trạm y tế cấp xã</t>
  </si>
  <si>
    <t>13. Kinh phí thu gom, vận chuyển, xử lý chất thải rắn sinh hoạt</t>
  </si>
  <si>
    <t>Phòng Kinh tế xã</t>
  </si>
  <si>
    <t>Phòng Văn hóa - Xã hội</t>
  </si>
  <si>
    <t>Trung Tâm dịch vụ hành chính công</t>
  </si>
  <si>
    <t xml:space="preserve"> Trường Mầm non Bình Tường</t>
  </si>
  <si>
    <t xml:space="preserve"> Trường Mầm non Tây Phú</t>
  </si>
  <si>
    <t xml:space="preserve"> Trường Mầm non Vĩnh An</t>
  </si>
  <si>
    <t>HTXNN DV tổng hợp Bình Tường</t>
  </si>
  <si>
    <t>HTXNN - Sản xuất - Thương mại - Dịch vụ Vĩnh An</t>
  </si>
  <si>
    <t>HTX dịch vụ thương mại nông nghiệp Tây Phú</t>
  </si>
  <si>
    <t xml:space="preserve"> Trường TH Vĩnh An</t>
  </si>
  <si>
    <t xml:space="preserve"> Trường THCS Mai Xuân Thưởng</t>
  </si>
  <si>
    <t xml:space="preserve"> Trường THCS Tây Phú</t>
  </si>
  <si>
    <t xml:space="preserve"> Trường PTDT bán trú THCS Tây Sơn</t>
  </si>
  <si>
    <t xml:space="preserve">Xã giao </t>
  </si>
  <si>
    <t>DỰ TOÁN THU NGÂN SÁCH PHÁT SINH TRÊN ĐỊA BÀN XÃ NĂM 2025</t>
  </si>
  <si>
    <t>DỰ TOÁN THU NGÂN SÁCH XÃ HƯỞNG THEO PHÂN CẤP NĂM 2025</t>
  </si>
  <si>
    <t>THU PHÁT SINH TRÊN ĐỊA BÀN</t>
  </si>
  <si>
    <t>Thuế công thương nghiệp</t>
  </si>
  <si>
    <t>Lệ phí trước bạ</t>
  </si>
  <si>
    <t>Thuế thu nhập cá nhân</t>
  </si>
  <si>
    <t>Thuế nhà đất, thuế đất phi nông nghiệp</t>
  </si>
  <si>
    <t>Thu phí, lệ phí</t>
  </si>
  <si>
    <t>Thu tiền sử dụng đất</t>
  </si>
  <si>
    <t>Thu tiền cho thuê đất</t>
  </si>
  <si>
    <t>Thu đóng góp xây dựng cơ sở hạ tầng</t>
  </si>
  <si>
    <t>THU CHUYỂN NGUỒN NĂM TRƯỚC</t>
  </si>
  <si>
    <t>THU KẾT DƯ NĂM TRƯỚC</t>
  </si>
  <si>
    <t>THU BỔ SUNG TỪ NGÂN SÁCH CẤP TRÊN</t>
  </si>
  <si>
    <t>Bổ sung cân đối</t>
  </si>
  <si>
    <t>DỰ TOÁN CHI NGÂN SÁCH XÃ NĂM 2025</t>
  </si>
  <si>
    <t>TỔNG CHI NGÂN SÁCH XÃ (A+B)</t>
  </si>
  <si>
    <t>Dự toán bổ sung sau khi sáp nhập</t>
  </si>
  <si>
    <t>Chi đầu tư phát triển</t>
  </si>
  <si>
    <t xml:space="preserve"> Chi sự nghiệp kinh tế</t>
  </si>
  <si>
    <t xml:space="preserve"> Chi sự nghiệp văn xã</t>
  </si>
  <si>
    <t xml:space="preserve"> Chi quản lý hành chính</t>
  </si>
  <si>
    <t xml:space="preserve"> Chi khác ngân sách </t>
  </si>
  <si>
    <t xml:space="preserve"> Dự phòng chi</t>
  </si>
  <si>
    <t xml:space="preserve">  Sự nghiệp nông nghiệp, lâm nghiệp, thủy lợi</t>
  </si>
  <si>
    <t xml:space="preserve">  Sự nghiệp giao thông</t>
  </si>
  <si>
    <t xml:space="preserve">  Sự nghiệp kiến thiết thị chính</t>
  </si>
  <si>
    <t xml:space="preserve">  Sự nghiệp kinh tế khác</t>
  </si>
  <si>
    <t xml:space="preserve">  Chi sự nghiệp giáo dục, đào tạo và dạy nghề</t>
  </si>
  <si>
    <t xml:space="preserve">  Chi sự nghiệp khoa học công nghệ</t>
  </si>
  <si>
    <t xml:space="preserve">  Chi y tế, dân số kế hoạch hóa gia đình</t>
  </si>
  <si>
    <t xml:space="preserve">  Chi sự nghiệp bảo vệ môi trường</t>
  </si>
  <si>
    <t xml:space="preserve">  Chi sự nghiệp văn hóa thông tin</t>
  </si>
  <si>
    <t xml:space="preserve">  Chi sự nghiệp phát thanh, truyền hình</t>
  </si>
  <si>
    <t xml:space="preserve">  Chi sự nghiệp thể dục  thể thao</t>
  </si>
  <si>
    <t xml:space="preserve">  Chi đảm bảo xã hội</t>
  </si>
  <si>
    <t xml:space="preserve">  Quản lý nhà nước</t>
  </si>
  <si>
    <t xml:space="preserve">  Kinh phí Đảng</t>
  </si>
  <si>
    <t xml:space="preserve">  Các hội, đoàn thể</t>
  </si>
  <si>
    <t xml:space="preserve"> Chi an ninh  quốc phòng địa phương</t>
  </si>
  <si>
    <t xml:space="preserve">  Chi giữ gìn an ninh và trật tự xã hội</t>
  </si>
  <si>
    <t xml:space="preserve">  Chi quốc phòng địa phương</t>
  </si>
  <si>
    <t xml:space="preserve"> Chi sự nghiệp giáo dục, dạy nghề</t>
  </si>
  <si>
    <t>+</t>
  </si>
  <si>
    <t xml:space="preserve"> Chi sự nghiệp đào tạo</t>
  </si>
  <si>
    <t>Dự toán đã sử dụng 6 tháng đấu năm</t>
  </si>
  <si>
    <t>Dự toán được sử dụng 6 tháng cuối năm</t>
  </si>
  <si>
    <t>Thu 6 tháng đầu năm 2025</t>
  </si>
  <si>
    <t>Vĩnh An</t>
  </si>
  <si>
    <t>Bình Tường</t>
  </si>
  <si>
    <t>Tây Phú</t>
  </si>
  <si>
    <t>4=5+6</t>
  </si>
  <si>
    <t>Dự toán 6 tháng cuối năm 2025</t>
  </si>
  <si>
    <t>Dự toán đã thực hiện 6 tháng đầu năm 2025</t>
  </si>
  <si>
    <t xml:space="preserve"> Thuế giá trị gia tăng</t>
  </si>
  <si>
    <t xml:space="preserve"> Thuế thu nhập doanh nghiệp</t>
  </si>
  <si>
    <t xml:space="preserve"> Thuế tiêu thụ đặc biệt</t>
  </si>
  <si>
    <t xml:space="preserve"> Thuế tài nguyên</t>
  </si>
  <si>
    <t xml:space="preserve"> Lệ phí môn bài</t>
  </si>
  <si>
    <t xml:space="preserve"> Phí BVMT khai thác khoáng sản</t>
  </si>
  <si>
    <t xml:space="preserve"> Phí, lệ phí còn lại</t>
  </si>
  <si>
    <t>TỔNG THU NGÂN SÁCH NHÀ NƯỚC (I+II+III+IV)</t>
  </si>
  <si>
    <t>Bổ sung mục tiêu thực hiện các CTMTQG</t>
  </si>
  <si>
    <t>Bổ sung có mục tiêu trong dự toán</t>
  </si>
  <si>
    <t>Bổ sung có mục tiêu ngoài dự toán</t>
  </si>
  <si>
    <t>Nguồn thu tiền sử dụng đất</t>
  </si>
  <si>
    <t>Nguồn thu chuyển nguồn (tăng thu ngân sách xã năm 2024)</t>
  </si>
  <si>
    <t xml:space="preserve">Nguồn vốn Chương trình mục tiêu quốc gia xây dựng nông thôn mới </t>
  </si>
  <si>
    <t>Nguồn vốn bổ sung có mục tiêu hỗ trợ giao thông nông thôn và kiên cố hóa kênh mương</t>
  </si>
  <si>
    <t>Ngân sách tỉnh bổ sung từ nguồn thu tiền sử dụng đất</t>
  </si>
  <si>
    <t>CÂN ĐỐI NGÂN SÁCH ĐỊA PHƯƠNG NĂM 2025</t>
  </si>
  <si>
    <t>NỘI DUNG</t>
  </si>
  <si>
    <t xml:space="preserve">TỔNG THU NSNN TRÊN ĐỊA BÀN </t>
  </si>
  <si>
    <t>TỔNG THU NGÂN SÁCH ĐỊA PHƯƠNG</t>
  </si>
  <si>
    <t>Các khoản thu cân đối ngân sách địa phương</t>
  </si>
  <si>
    <t>TỔNG CHI NGÂN SÁCH</t>
  </si>
  <si>
    <t xml:space="preserve">Chi thường xuyên </t>
  </si>
  <si>
    <t xml:space="preserve"> Trong đó:</t>
  </si>
  <si>
    <t>Chi sự nghiệp giáo dục, đào tạo và dạy nghề</t>
  </si>
  <si>
    <t>Chi sự nghiệp khoa học, công nghệ</t>
  </si>
  <si>
    <t>Đơn vị tính: 1.000 đồng</t>
  </si>
  <si>
    <t>DỰ TOÁN TỈNH GIAO NĂM 2025</t>
  </si>
  <si>
    <t>DỰ TOÁN XÃ GIAO NĂM 2025</t>
  </si>
  <si>
    <t>Thu bổ sung từ ngân sách cấp trên</t>
  </si>
  <si>
    <t xml:space="preserve">Thu chuyển nguồn </t>
  </si>
  <si>
    <t>Thu kết dư ngân sách</t>
  </si>
  <si>
    <t>Dự toán chi năm 2025 tỉnh giao</t>
  </si>
  <si>
    <t>Dự toán chi năm 2025 xã giao</t>
  </si>
  <si>
    <t>DT đã sử dụng 6 tháng đầu năm 2025</t>
  </si>
  <si>
    <t>Phụ lục số 04</t>
  </si>
  <si>
    <t>Phụ lục số 02</t>
  </si>
  <si>
    <t>Nguồn Chương trình mục tiêu quốc gia phát triển kinh tế - xã hội vùng Đồng bào dân tộc thiểu số và Miền núi</t>
  </si>
  <si>
    <t>Phụ lục số 03</t>
  </si>
  <si>
    <t>Thu khác ngân sách xã (Kể cả quỹ đất công ích, hoa lợi công sản xã quản lý)</t>
  </si>
  <si>
    <t xml:space="preserve"> - UBMT Mặt trận</t>
  </si>
  <si>
    <t xml:space="preserve"> - Huyện ủy</t>
  </si>
  <si>
    <t xml:space="preserve"> - HĐND</t>
  </si>
  <si>
    <t xml:space="preserve"> - Văn phòng HĐND &amp; UBND</t>
  </si>
  <si>
    <t>Chi tạo nguồn thực hiện cải cách tiền lương</t>
  </si>
  <si>
    <t>Tổng dự toán giao đầu năm 2025 của 3 xã</t>
  </si>
  <si>
    <t>DT đã sử dụng 6 tháng đầu năm 2024</t>
  </si>
  <si>
    <t>Thu 6 tháng đầu năm 2024</t>
  </si>
  <si>
    <t>Bổ sung có mục tiêu theo dự toán giao:</t>
  </si>
  <si>
    <t>Tổng thu NSNN 6 tháng đầu năm 2024
 (1.000đ)</t>
  </si>
  <si>
    <t>So sánh %</t>
  </si>
  <si>
    <t>So sách thực hiện 6/2025 so DT 2025</t>
  </si>
  <si>
    <t>So sách thực hiện 6/2024 so TH 6/2024</t>
  </si>
  <si>
    <t>Tổng thu NSNN 6 tháng đầu năm 2024
(1.000đ)</t>
  </si>
  <si>
    <t>Tổng chi NSNN 6 tháng đầu năm 2024 (1.000đ)</t>
  </si>
  <si>
    <t>So sánh tỷ lệ %</t>
  </si>
  <si>
    <t>DỰ TOÁN CHI NGÂN SÁCH XÃ CHI TIẾT THEO ĐƠN VỊ NĂM 2025</t>
  </si>
  <si>
    <t>Chi tạo nguồn thực hiện chính sách tiền lương</t>
  </si>
  <si>
    <t>10% tiết kiệm chi thường xuyên tạo nguồn thực hiện cải cách tiền lương</t>
  </si>
  <si>
    <t>Kinh phí quốc phòng địa phương</t>
  </si>
  <si>
    <t>Sự nghiệp văn hóa - thông tin</t>
  </si>
  <si>
    <t>Sự nghiệp thể dục thể thao</t>
  </si>
  <si>
    <t>Sự nghiệp Phát thanh, truyền hình, thông tấn</t>
  </si>
  <si>
    <t>Văn phòng Đảng ủy xã</t>
  </si>
  <si>
    <t>1.1</t>
  </si>
  <si>
    <t>Dự toán đã sử dụng 6 tháng đầu năm</t>
  </si>
  <si>
    <t xml:space="preserve"> -</t>
  </si>
  <si>
    <t>Dự toán chi thường xuyên (13)</t>
  </si>
  <si>
    <t>Dự toán chi không thường xuyên (12)</t>
  </si>
  <si>
    <t>1.2</t>
  </si>
  <si>
    <t>Dự toán phân bổ 6 tháng cuối năm</t>
  </si>
  <si>
    <t>Quỹ tiền thưởng (18)</t>
  </si>
  <si>
    <t>Văn phòng HĐND và UBND xã</t>
  </si>
  <si>
    <t>2.1</t>
  </si>
  <si>
    <t>2.2</t>
  </si>
  <si>
    <t xml:space="preserve">Ủy ban Mặt trận Tổ quốc Việt Nam </t>
  </si>
  <si>
    <t>3.1</t>
  </si>
  <si>
    <t>3.2</t>
  </si>
  <si>
    <t>4.1</t>
  </si>
  <si>
    <t>4.2</t>
  </si>
  <si>
    <t>5.1</t>
  </si>
  <si>
    <t>5.2</t>
  </si>
  <si>
    <t xml:space="preserve"> Trường TH Bình Tường</t>
  </si>
  <si>
    <t xml:space="preserve"> Trường TH Tây Phú</t>
  </si>
  <si>
    <t>Giao UBND xã thực hiện phân bổ dự toán chi tiết theo quy định</t>
  </si>
  <si>
    <t xml:space="preserve"> (*) Kinh phí chi TX đã chi 6 tháng của 3 xã</t>
  </si>
  <si>
    <t xml:space="preserve">  (**) Dự toán chi 6 tháng cuối năm</t>
  </si>
  <si>
    <t xml:space="preserve"> Trđó: Quỹ tiền thưởng khối hành chính, QP (18)</t>
  </si>
  <si>
    <t xml:space="preserve">Chi hoạt động chung của khối </t>
  </si>
  <si>
    <t>Chi phục vụ Đại hội Đảng</t>
  </si>
  <si>
    <t>Chi hoạt động chung của xã (HĐND&amp;UBND)</t>
  </si>
  <si>
    <t>Dự toán chi không thường xuyên (12):</t>
  </si>
  <si>
    <t>Hỗ trợ sử dụng nước sạch cho đồng bào DTTS</t>
  </si>
  <si>
    <t>Dự toán chi không thường xuyên  (12)</t>
  </si>
  <si>
    <t>Sự nghiệp nông,lâm nghiệp, thủy lợi</t>
  </si>
  <si>
    <t>Chi sự nghiệp môi trường theo phân cấp và thu gom, vận chuyển, xử lý chất thải rắn sinh hoạt</t>
  </si>
  <si>
    <t xml:space="preserve">Sự nghiệp kiến thiết thị chính </t>
  </si>
  <si>
    <t>Sự nghiệp kinh tế khác</t>
  </si>
  <si>
    <t>Sự nghiệp giao thông</t>
  </si>
  <si>
    <t>Y tế, dân số kế hoạch hóa gia đình</t>
  </si>
  <si>
    <t>Dự toán chi thường xuyên (13):</t>
  </si>
  <si>
    <t>Quản lý hành chính</t>
  </si>
  <si>
    <t>Quốc phòng địa phương</t>
  </si>
  <si>
    <t>An ninh trật tự địa phương</t>
  </si>
  <si>
    <t>Kinh phí an ninh trật tự địa phương</t>
  </si>
  <si>
    <t>Chi tiền điện, nước, TTLL  tháng 6 của 3 xã trước hợp nhất đơn vị hanh chính xã</t>
  </si>
  <si>
    <t>Hội đồng định giá tố tụng hình sự
, hỗ trợ công tác QTNSNN, ký hợp đồng và nghiệm thu thanh lý quyết toán kinh phí cấp bù thủy lợi phí, hỗ trợ công tác lập bộ thu quỹ đất công ích</t>
  </si>
  <si>
    <t>Tiền điện hộ nghèo và hộ chính sách</t>
  </si>
  <si>
    <t>Chi thanh dịch vụ chi trả kinh phí thực hiện chính sách trợ giúp xã hội</t>
  </si>
  <si>
    <t>Hỗ trợ các đối tượng bảo trợ xã hội thuộc diện hộ nghèo, hộ cận nghèo được hỗ trợ thêm 180.000 đồng/người/tháng đối tượng bảo trợ theo điểm b, khoản 2 Điều 1 Nghị quyết số 11/2024/NQ-HĐND ngày 12/7/2024 của HĐND tỉnh</t>
  </si>
  <si>
    <t>(Kèm theo Tờ trình số      /TTr-UBND ngày     /     /2025 
của Ủy ban nhân dân xã)</t>
  </si>
  <si>
    <t>Tiền điện, nước nhà văn hóa thôn, làng, nghĩa trang</t>
  </si>
  <si>
    <t>Kinh phí thực hiện các chính sách trợ giúp xã hội đối với đối tượng bảo trợ xã hội theo quy định tại Nghị định số 76/2024/NĐ-CP ngày 01/7/2024 của Chính phủ</t>
  </si>
  <si>
    <r>
      <t xml:space="preserve">Sự nghiệp kinh tế 
</t>
    </r>
    <r>
      <rPr>
        <i/>
        <sz val="11"/>
        <color indexed="8"/>
        <rFont val="Times New Roman"/>
        <family val="1"/>
      </rPr>
      <t>(Nông, lâm, thủy lợi, KTTC, SNGT và SN khác)</t>
    </r>
  </si>
  <si>
    <t>(Kèm theo Tờ trình số       /TTr-UBND ngày       /      /2025 của Ủy ban nhân dân xã)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</si>
</sst>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 _₫_-;\-* #,##0\ _₫_-;_-* &quot;-&quot;\ _₫_-;_-@_-"/>
    <numFmt numFmtId="164" formatCode="_-* #,##0.00_-;\-* #,##0.00_-;_-* &quot;-&quot;??_-;_-@_-"/>
    <numFmt numFmtId="165" formatCode="_(* #,##0.00_);_(* \(#,##0.00\);_(* &quot;-&quot;??_);_(@_)"/>
    <numFmt numFmtId="166" formatCode="#,##0_ ;\-#,##0\ "/>
    <numFmt numFmtId="167" formatCode="_-* #,##0.00\ _₫_-;\-* #,##0.00\ _₫_-;_-* &quot;-&quot;\ _₫_-;_-@_-"/>
    <numFmt numFmtId="168" formatCode="0.00_);\(0.00\)"/>
  </numFmts>
  <fonts count="39">
    <font>
      <sz val="14"/>
      <name val="Times New Roman"/>
    </font>
    <font>
      <sz val="14"/>
      <name val="Times New Roman"/>
      <family val="1"/>
    </font>
    <font>
      <b/>
      <sz val="14"/>
      <name val="Times New Roman"/>
      <family val="1"/>
    </font>
    <font>
      <sz val="8"/>
      <name val="Times New Roman"/>
      <family val="1"/>
    </font>
    <font>
      <i/>
      <sz val="14"/>
      <name val="Times New Roman"/>
      <family val="1"/>
    </font>
    <font>
      <sz val="8"/>
      <color indexed="81"/>
      <name val="Tahoma"/>
      <family val="2"/>
    </font>
    <font>
      <i/>
      <sz val="13"/>
      <name val="Times New Roman"/>
      <family val="1"/>
    </font>
    <font>
      <sz val="9"/>
      <color indexed="81"/>
      <name val="Tahoma"/>
      <family val="2"/>
    </font>
    <font>
      <b/>
      <sz val="13"/>
      <name val="Times New Roman"/>
      <family val="1"/>
    </font>
    <font>
      <sz val="12"/>
      <name val="Times New Roman"/>
      <family val="1"/>
    </font>
    <font>
      <b/>
      <sz val="12"/>
      <name val="Times New Roman"/>
      <family val="1"/>
    </font>
    <font>
      <b/>
      <sz val="8"/>
      <name val="Times New Roman"/>
      <family val="1"/>
    </font>
    <font>
      <sz val="12"/>
      <name val=".VnTime"/>
      <family val="2"/>
    </font>
    <font>
      <sz val="13"/>
      <name val="Times New Roman"/>
      <family val="1"/>
    </font>
    <font>
      <b/>
      <i/>
      <sz val="13"/>
      <name val="Times New Roman"/>
      <family val="1"/>
    </font>
    <font>
      <sz val="9"/>
      <name val="Tahoma"/>
      <family val="2"/>
    </font>
    <font>
      <sz val="14"/>
      <color theme="1"/>
      <name val="Times New Roman"/>
      <family val="1"/>
    </font>
    <font>
      <i/>
      <sz val="14"/>
      <color theme="1"/>
      <name val="Times New Roman"/>
      <family val="1"/>
    </font>
    <font>
      <b/>
      <sz val="14"/>
      <color theme="1"/>
      <name val="Times New Roman"/>
      <family val="1"/>
    </font>
    <font>
      <sz val="12"/>
      <color theme="1"/>
      <name val="Times New Roman"/>
      <family val="1"/>
    </font>
    <font>
      <b/>
      <sz val="12"/>
      <color theme="1"/>
      <name val="Times New Roman"/>
      <family val="1"/>
    </font>
    <font>
      <sz val="14"/>
      <color rgb="FF0000FF"/>
      <name val="Times New Roman"/>
      <family val="1"/>
    </font>
    <font>
      <b/>
      <sz val="8"/>
      <color theme="1"/>
      <name val="Times New Roman"/>
      <family val="1"/>
    </font>
    <font>
      <sz val="14"/>
      <color rgb="FFFF0000"/>
      <name val="Times New Roman"/>
      <family val="1"/>
    </font>
    <font>
      <sz val="13"/>
      <color theme="1"/>
      <name val="Times New Roman"/>
      <family val="1"/>
    </font>
    <font>
      <b/>
      <sz val="12.5"/>
      <color theme="1"/>
      <name val="Times New Roman"/>
      <family val="1"/>
    </font>
    <font>
      <b/>
      <sz val="13"/>
      <color theme="1"/>
      <name val="Times New Roman"/>
      <family val="1"/>
    </font>
    <font>
      <i/>
      <sz val="13"/>
      <color theme="1"/>
      <name val="Times New Roman"/>
      <family val="1"/>
    </font>
    <font>
      <b/>
      <sz val="14"/>
      <color rgb="FF0000FF"/>
      <name val="Times New Roman"/>
      <family val="1"/>
    </font>
    <font>
      <sz val="10"/>
      <color rgb="FF0000FF"/>
      <name val="Times New Roman"/>
      <family val="1"/>
    </font>
    <font>
      <i/>
      <sz val="14"/>
      <color rgb="FF0000FF"/>
      <name val="Times New Roman"/>
      <family val="1"/>
    </font>
    <font>
      <sz val="11"/>
      <color theme="1"/>
      <name val="Times New Roman"/>
      <family val="1"/>
    </font>
    <font>
      <i/>
      <sz val="12"/>
      <name val="Times New Roman"/>
      <family val="1"/>
    </font>
    <font>
      <b/>
      <sz val="12.5"/>
      <name val="Times New Roman"/>
      <family val="1"/>
    </font>
    <font>
      <b/>
      <sz val="11"/>
      <color theme="1"/>
      <name val="Times New Roman"/>
      <family val="1"/>
    </font>
    <font>
      <b/>
      <sz val="11"/>
      <color indexed="8"/>
      <name val="Times New Roman"/>
      <family val="1"/>
    </font>
    <font>
      <i/>
      <sz val="11"/>
      <color indexed="8"/>
      <name val="Times New Roman"/>
      <family val="1"/>
    </font>
    <font>
      <b/>
      <i/>
      <sz val="11"/>
      <color theme="1"/>
      <name val="Times New Roman"/>
      <family val="1"/>
    </font>
    <font>
      <i/>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s>
  <cellStyleXfs count="5">
    <xf numFmtId="0" fontId="0" fillId="0" borderId="0"/>
    <xf numFmtId="165" fontId="1" fillId="0" borderId="0" applyFont="0" applyFill="0" applyBorder="0" applyAlignment="0" applyProtection="0"/>
    <xf numFmtId="164" fontId="12" fillId="0" borderId="0" applyFont="0" applyFill="0" applyBorder="0" applyAlignment="0" applyProtection="0"/>
    <xf numFmtId="0" fontId="1" fillId="0" borderId="0"/>
    <xf numFmtId="0" fontId="12" fillId="0" borderId="0"/>
  </cellStyleXfs>
  <cellXfs count="347">
    <xf numFmtId="0" fontId="0" fillId="0" borderId="0" xfId="0"/>
    <xf numFmtId="3" fontId="0" fillId="0" borderId="1" xfId="0" applyNumberFormat="1" applyBorder="1"/>
    <xf numFmtId="0" fontId="2" fillId="0" borderId="0" xfId="0" applyFont="1"/>
    <xf numFmtId="0" fontId="4" fillId="0" borderId="0" xfId="0" applyFont="1"/>
    <xf numFmtId="3" fontId="0" fillId="0" borderId="0" xfId="0" applyNumberFormat="1"/>
    <xf numFmtId="3" fontId="0" fillId="0" borderId="1" xfId="0" applyNumberFormat="1" applyBorder="1" applyAlignment="1">
      <alignment vertical="top" wrapText="1"/>
    </xf>
    <xf numFmtId="3" fontId="0" fillId="0" borderId="2" xfId="0" applyNumberFormat="1" applyBorder="1" applyAlignment="1">
      <alignment vertical="top" wrapText="1"/>
    </xf>
    <xf numFmtId="3" fontId="2" fillId="0" borderId="1" xfId="0" applyNumberFormat="1" applyFont="1" applyBorder="1" applyAlignment="1">
      <alignment vertical="top" wrapText="1"/>
    </xf>
    <xf numFmtId="3" fontId="2" fillId="0" borderId="1" xfId="0" applyNumberFormat="1" applyFont="1" applyBorder="1"/>
    <xf numFmtId="3" fontId="4" fillId="0" borderId="1" xfId="0" applyNumberFormat="1" applyFont="1" applyBorder="1"/>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1" xfId="0" applyNumberFormat="1" applyFont="1" applyBorder="1" applyAlignment="1">
      <alignment vertical="center" wrapText="1"/>
    </xf>
    <xf numFmtId="3" fontId="0" fillId="0" borderId="1" xfId="0" applyNumberFormat="1" applyBorder="1" applyAlignment="1">
      <alignment vertical="center" wrapText="1"/>
    </xf>
    <xf numFmtId="0" fontId="1" fillId="0" borderId="0" xfId="0" applyFont="1"/>
    <xf numFmtId="3" fontId="16" fillId="2" borderId="0" xfId="0" applyNumberFormat="1" applyFont="1" applyFill="1"/>
    <xf numFmtId="0" fontId="17" fillId="2" borderId="0" xfId="0" applyFont="1" applyFill="1"/>
    <xf numFmtId="0" fontId="18" fillId="2" borderId="1" xfId="0" applyFont="1" applyFill="1" applyBorder="1" applyAlignment="1">
      <alignment vertical="center" wrapText="1"/>
    </xf>
    <xf numFmtId="0" fontId="16" fillId="2" borderId="1" xfId="0" applyFont="1" applyFill="1" applyBorder="1" applyAlignment="1">
      <alignment vertical="center" wrapText="1"/>
    </xf>
    <xf numFmtId="3" fontId="16" fillId="2" borderId="1" xfId="0" applyNumberFormat="1" applyFont="1" applyFill="1" applyBorder="1"/>
    <xf numFmtId="0" fontId="18" fillId="2" borderId="1" xfId="0" applyFont="1" applyFill="1" applyBorder="1" applyAlignment="1">
      <alignment horizontal="left" vertical="center" wrapText="1"/>
    </xf>
    <xf numFmtId="3" fontId="1" fillId="0" borderId="1" xfId="0" applyNumberFormat="1" applyFont="1" applyBorder="1" applyAlignment="1">
      <alignment vertical="center" wrapText="1"/>
    </xf>
    <xf numFmtId="0" fontId="16" fillId="2" borderId="0" xfId="0" applyFont="1" applyFill="1"/>
    <xf numFmtId="0" fontId="8" fillId="0" borderId="3" xfId="0" applyFont="1" applyBorder="1" applyAlignment="1">
      <alignment horizontal="center" vertical="center" wrapText="1"/>
    </xf>
    <xf numFmtId="0" fontId="9" fillId="0" borderId="1" xfId="0" applyFont="1" applyFill="1" applyBorder="1" applyAlignment="1">
      <alignment horizontal="center" vertical="center" wrapText="1"/>
    </xf>
    <xf numFmtId="0" fontId="16" fillId="2" borderId="2" xfId="0" applyFont="1" applyFill="1" applyBorder="1"/>
    <xf numFmtId="0" fontId="2" fillId="0" borderId="0" xfId="0" applyFont="1" applyAlignment="1">
      <alignment horizontal="center"/>
    </xf>
    <xf numFmtId="0" fontId="4" fillId="0" borderId="0" xfId="0" applyFont="1" applyAlignment="1">
      <alignment horizontal="center"/>
    </xf>
    <xf numFmtId="0" fontId="10" fillId="0" borderId="1" xfId="0" applyFont="1" applyBorder="1" applyAlignment="1">
      <alignment horizontal="center" vertical="center" wrapText="1"/>
    </xf>
    <xf numFmtId="168"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8" fontId="9" fillId="0" borderId="1" xfId="0" applyNumberFormat="1" applyFont="1" applyBorder="1" applyAlignment="1">
      <alignment vertical="center" wrapText="1"/>
    </xf>
    <xf numFmtId="168" fontId="9" fillId="0" borderId="1" xfId="0" applyNumberFormat="1" applyFont="1" applyFill="1" applyBorder="1" applyAlignment="1">
      <alignment vertical="center" wrapText="1"/>
    </xf>
    <xf numFmtId="0" fontId="22" fillId="2" borderId="3" xfId="0" applyFont="1" applyFill="1" applyBorder="1" applyAlignment="1">
      <alignment horizontal="center"/>
    </xf>
    <xf numFmtId="0" fontId="22" fillId="2" borderId="3" xfId="0" applyFont="1" applyFill="1" applyBorder="1" applyAlignment="1">
      <alignment horizontal="center" vertical="center" wrapText="1"/>
    </xf>
    <xf numFmtId="0" fontId="22" fillId="2" borderId="0" xfId="0" applyFont="1" applyFill="1"/>
    <xf numFmtId="3" fontId="4" fillId="0" borderId="1" xfId="0" applyNumberFormat="1" applyFont="1" applyBorder="1" applyAlignment="1">
      <alignment vertical="center" wrapText="1"/>
    </xf>
    <xf numFmtId="3" fontId="4" fillId="0" borderId="1" xfId="0" applyNumberFormat="1" applyFont="1" applyBorder="1" applyAlignment="1">
      <alignment vertical="top" wrapText="1"/>
    </xf>
    <xf numFmtId="0" fontId="0" fillId="0" borderId="0" xfId="0" applyBorder="1"/>
    <xf numFmtId="3" fontId="21" fillId="0" borderId="1" xfId="0" applyNumberFormat="1" applyFont="1" applyBorder="1"/>
    <xf numFmtId="0" fontId="16" fillId="2" borderId="3" xfId="0" applyFont="1" applyFill="1" applyBorder="1"/>
    <xf numFmtId="0" fontId="18" fillId="3" borderId="3" xfId="0" applyFont="1" applyFill="1" applyBorder="1" applyAlignment="1">
      <alignment horizontal="center" vertical="center" wrapText="1"/>
    </xf>
    <xf numFmtId="3" fontId="23" fillId="0" borderId="1" xfId="0" applyNumberFormat="1" applyFont="1" applyBorder="1"/>
    <xf numFmtId="3" fontId="1" fillId="0" borderId="1" xfId="0" applyNumberFormat="1" applyFont="1" applyBorder="1"/>
    <xf numFmtId="0" fontId="24" fillId="2" borderId="0" xfId="0" applyFont="1" applyFill="1"/>
    <xf numFmtId="0" fontId="18" fillId="2" borderId="1" xfId="0" applyFont="1" applyFill="1" applyBorder="1" applyAlignment="1">
      <alignment horizontal="center" vertical="center"/>
    </xf>
    <xf numFmtId="168" fontId="10" fillId="0" borderId="5" xfId="0" applyNumberFormat="1" applyFont="1" applyBorder="1" applyAlignment="1">
      <alignment vertical="center" wrapText="1"/>
    </xf>
    <xf numFmtId="168" fontId="10" fillId="0" borderId="8" xfId="0" applyNumberFormat="1" applyFont="1" applyBorder="1" applyAlignment="1">
      <alignment horizontal="center" vertical="center" wrapText="1"/>
    </xf>
    <xf numFmtId="3" fontId="1" fillId="0" borderId="1" xfId="0" applyNumberFormat="1" applyFont="1" applyBorder="1" applyAlignment="1">
      <alignment vertical="top" wrapText="1"/>
    </xf>
    <xf numFmtId="0" fontId="13" fillId="0" borderId="0" xfId="0" applyFont="1"/>
    <xf numFmtId="0" fontId="13" fillId="0" borderId="0" xfId="0" applyFont="1" applyAlignment="1">
      <alignment vertical="center" wrapText="1"/>
    </xf>
    <xf numFmtId="0" fontId="13" fillId="0" borderId="0" xfId="4" applyFont="1" applyAlignment="1">
      <alignment vertical="center" wrapText="1"/>
    </xf>
    <xf numFmtId="0" fontId="6" fillId="0" borderId="0" xfId="4" applyFont="1" applyAlignment="1">
      <alignment horizontal="right" vertical="center" wrapText="1"/>
    </xf>
    <xf numFmtId="0" fontId="6" fillId="0" borderId="0" xfId="4" applyFont="1" applyAlignment="1">
      <alignment horizontal="right" vertical="center"/>
    </xf>
    <xf numFmtId="0" fontId="8" fillId="0" borderId="3" xfId="4"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5" xfId="4" applyFont="1" applyBorder="1" applyAlignment="1">
      <alignment vertical="center" wrapText="1"/>
    </xf>
    <xf numFmtId="0" fontId="8" fillId="0" borderId="0" xfId="0" applyFont="1" applyAlignment="1">
      <alignment vertical="center" wrapText="1"/>
    </xf>
    <xf numFmtId="0" fontId="8" fillId="0" borderId="1" xfId="0" applyFont="1" applyFill="1" applyBorder="1" applyAlignment="1">
      <alignment horizontal="center" vertical="center" wrapText="1"/>
    </xf>
    <xf numFmtId="0" fontId="8" fillId="0" borderId="1" xfId="4" applyFont="1" applyBorder="1" applyAlignment="1">
      <alignment vertical="center" wrapText="1"/>
    </xf>
    <xf numFmtId="0" fontId="8" fillId="0" borderId="1" xfId="4" applyFont="1" applyFill="1" applyBorder="1" applyAlignment="1">
      <alignment vertical="center" wrapText="1"/>
    </xf>
    <xf numFmtId="3" fontId="8" fillId="0" borderId="0" xfId="0" applyNumberFormat="1" applyFont="1" applyFill="1" applyAlignment="1">
      <alignment vertical="center" wrapText="1"/>
    </xf>
    <xf numFmtId="0" fontId="8" fillId="0" borderId="0" xfId="0" applyFont="1" applyFill="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4" applyFont="1" applyBorder="1" applyAlignment="1">
      <alignment vertical="center" wrapText="1"/>
    </xf>
    <xf numFmtId="0" fontId="13" fillId="0" borderId="2" xfId="0" applyFont="1" applyBorder="1" applyAlignment="1">
      <alignment vertical="center" wrapText="1"/>
    </xf>
    <xf numFmtId="0" fontId="13" fillId="0" borderId="2" xfId="4" applyFont="1" applyBorder="1" applyAlignment="1">
      <alignment horizontal="left" vertical="center" wrapText="1"/>
    </xf>
    <xf numFmtId="0" fontId="14" fillId="0" borderId="0" xfId="4" applyFont="1" applyAlignment="1">
      <alignment vertical="center" wrapText="1"/>
    </xf>
    <xf numFmtId="41" fontId="8" fillId="0" borderId="5" xfId="4" applyNumberFormat="1" applyFont="1" applyBorder="1" applyAlignment="1">
      <alignment horizontal="right" vertical="center" wrapText="1"/>
    </xf>
    <xf numFmtId="41" fontId="13" fillId="0" borderId="2" xfId="4" applyNumberFormat="1" applyFont="1" applyBorder="1" applyAlignment="1">
      <alignment horizontal="left" vertical="center" wrapText="1"/>
    </xf>
    <xf numFmtId="41" fontId="13" fillId="0" borderId="2" xfId="2" applyNumberFormat="1" applyFont="1" applyBorder="1" applyAlignment="1">
      <alignment vertical="center" wrapText="1"/>
    </xf>
    <xf numFmtId="0" fontId="13" fillId="0" borderId="1" xfId="0" applyFont="1" applyFill="1" applyBorder="1" applyAlignment="1">
      <alignment horizontal="center" vertical="center" wrapText="1"/>
    </xf>
    <xf numFmtId="41" fontId="8" fillId="0" borderId="5" xfId="2" applyNumberFormat="1" applyFont="1" applyBorder="1" applyAlignment="1">
      <alignment horizontal="right" vertical="center" wrapText="1"/>
    </xf>
    <xf numFmtId="41" fontId="8" fillId="0" borderId="1" xfId="4" applyNumberFormat="1" applyFont="1" applyBorder="1" applyAlignment="1">
      <alignment horizontal="right" vertical="center" wrapText="1"/>
    </xf>
    <xf numFmtId="41" fontId="13" fillId="0" borderId="1" xfId="4" applyNumberFormat="1" applyFont="1" applyBorder="1" applyAlignment="1">
      <alignment horizontal="right" vertical="center" wrapText="1"/>
    </xf>
    <xf numFmtId="41" fontId="13" fillId="0" borderId="1" xfId="2" applyNumberFormat="1" applyFont="1" applyBorder="1" applyAlignment="1">
      <alignment horizontal="right" vertical="center" wrapText="1"/>
    </xf>
    <xf numFmtId="0" fontId="11" fillId="0" borderId="3" xfId="0" applyFont="1" applyBorder="1" applyAlignment="1">
      <alignment horizontal="center" vertical="center" wrapText="1"/>
    </xf>
    <xf numFmtId="3" fontId="11" fillId="0" borderId="3" xfId="0" applyNumberFormat="1" applyFont="1" applyBorder="1" applyAlignment="1">
      <alignment horizontal="center" vertical="center" wrapText="1"/>
    </xf>
    <xf numFmtId="41" fontId="1" fillId="0" borderId="1" xfId="0" applyNumberFormat="1" applyFont="1" applyBorder="1" applyAlignment="1">
      <alignment horizontal="right" vertical="center" wrapText="1"/>
    </xf>
    <xf numFmtId="41" fontId="2" fillId="0" borderId="1" xfId="0" applyNumberFormat="1" applyFont="1" applyBorder="1" applyAlignment="1">
      <alignment horizontal="right" vertical="center" wrapText="1"/>
    </xf>
    <xf numFmtId="41" fontId="0" fillId="0" borderId="1" xfId="0" applyNumberFormat="1" applyBorder="1" applyAlignment="1">
      <alignment horizontal="right" vertical="center" wrapText="1"/>
    </xf>
    <xf numFmtId="41" fontId="4" fillId="0" borderId="1" xfId="0" applyNumberFormat="1" applyFont="1" applyBorder="1" applyAlignment="1">
      <alignment horizontal="right" vertical="center" wrapText="1"/>
    </xf>
    <xf numFmtId="41" fontId="23" fillId="0" borderId="1" xfId="0" applyNumberFormat="1" applyFont="1" applyBorder="1" applyAlignment="1">
      <alignment horizontal="right"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wrapText="1"/>
    </xf>
    <xf numFmtId="41" fontId="2" fillId="0" borderId="2" xfId="0" applyNumberFormat="1" applyFont="1" applyBorder="1" applyAlignment="1">
      <alignment horizontal="right" vertical="center" wrapText="1"/>
    </xf>
    <xf numFmtId="0" fontId="2" fillId="0" borderId="0" xfId="0" applyFont="1" applyAlignment="1"/>
    <xf numFmtId="0" fontId="4" fillId="0" borderId="0" xfId="0" applyFont="1" applyAlignment="1"/>
    <xf numFmtId="41" fontId="16" fillId="2" borderId="0" xfId="0" applyNumberFormat="1" applyFont="1" applyFill="1"/>
    <xf numFmtId="0" fontId="25" fillId="2" borderId="9" xfId="0" applyFont="1" applyFill="1" applyBorder="1" applyAlignment="1">
      <alignment vertical="center" wrapText="1"/>
    </xf>
    <xf numFmtId="0" fontId="25" fillId="2" borderId="7" xfId="0" applyFont="1" applyFill="1" applyBorder="1" applyAlignment="1">
      <alignment vertical="center" wrapText="1"/>
    </xf>
    <xf numFmtId="0" fontId="26" fillId="2" borderId="0" xfId="0" applyFont="1" applyFill="1" applyAlignment="1"/>
    <xf numFmtId="0" fontId="27" fillId="2" borderId="0" xfId="0" applyFont="1" applyFill="1" applyAlignment="1">
      <alignment wrapText="1"/>
    </xf>
    <xf numFmtId="41" fontId="8" fillId="0" borderId="1" xfId="4" applyNumberFormat="1" applyFont="1" applyFill="1" applyBorder="1" applyAlignment="1">
      <alignment horizontal="right" vertical="center" wrapText="1"/>
    </xf>
    <xf numFmtId="41" fontId="8" fillId="0" borderId="1" xfId="2" applyNumberFormat="1" applyFont="1" applyBorder="1" applyAlignment="1">
      <alignment horizontal="right" vertical="center" wrapText="1"/>
    </xf>
    <xf numFmtId="41" fontId="8" fillId="0" borderId="0" xfId="0" applyNumberFormat="1" applyFont="1" applyAlignment="1">
      <alignment vertical="center" wrapText="1"/>
    </xf>
    <xf numFmtId="41" fontId="16" fillId="2" borderId="1" xfId="0" applyNumberFormat="1" applyFont="1" applyFill="1" applyBorder="1" applyAlignment="1">
      <alignment horizontal="right" vertical="center" wrapText="1"/>
    </xf>
    <xf numFmtId="0" fontId="16" fillId="2" borderId="1" xfId="0" applyFont="1" applyFill="1" applyBorder="1" applyAlignment="1">
      <alignment horizontal="center" vertical="center"/>
    </xf>
    <xf numFmtId="41" fontId="18" fillId="2" borderId="1" xfId="0" applyNumberFormat="1" applyFont="1" applyFill="1" applyBorder="1" applyAlignment="1">
      <alignment horizontal="right" vertical="center" wrapText="1"/>
    </xf>
    <xf numFmtId="0" fontId="16" fillId="2" borderId="10"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 xfId="0" applyFont="1" applyFill="1" applyBorder="1" applyAlignment="1">
      <alignment horizontal="justify" vertical="center" wrapText="1"/>
    </xf>
    <xf numFmtId="41" fontId="16" fillId="2" borderId="2" xfId="0" applyNumberFormat="1" applyFont="1" applyFill="1" applyBorder="1" applyAlignment="1">
      <alignment horizontal="right" vertical="center" wrapText="1"/>
    </xf>
    <xf numFmtId="41" fontId="21" fillId="0" borderId="1" xfId="0" applyNumberFormat="1" applyFont="1" applyBorder="1" applyAlignment="1">
      <alignment horizontal="right" vertical="center" wrapText="1"/>
    </xf>
    <xf numFmtId="0" fontId="0" fillId="0" borderId="10" xfId="0" applyBorder="1" applyAlignment="1">
      <alignment horizontal="center" vertical="center"/>
    </xf>
    <xf numFmtId="3" fontId="1" fillId="0" borderId="10" xfId="0" applyNumberFormat="1" applyFont="1" applyBorder="1" applyAlignment="1">
      <alignment vertical="center" wrapText="1"/>
    </xf>
    <xf numFmtId="41" fontId="1" fillId="0" borderId="10" xfId="0" applyNumberFormat="1" applyFont="1" applyBorder="1" applyAlignment="1">
      <alignment horizontal="right" vertical="center" wrapText="1"/>
    </xf>
    <xf numFmtId="41" fontId="21" fillId="0" borderId="10" xfId="0" applyNumberFormat="1" applyFont="1" applyBorder="1" applyAlignment="1">
      <alignment horizontal="right" vertical="center" wrapText="1"/>
    </xf>
    <xf numFmtId="3" fontId="0" fillId="0" borderId="10" xfId="0" applyNumberFormat="1" applyBorder="1" applyAlignment="1">
      <alignment vertical="top" wrapText="1"/>
    </xf>
    <xf numFmtId="0" fontId="2" fillId="0" borderId="3" xfId="0" applyFont="1" applyBorder="1" applyAlignment="1">
      <alignment horizontal="center" vertical="center" wrapText="1"/>
    </xf>
    <xf numFmtId="166" fontId="8" fillId="0" borderId="0" xfId="1" applyNumberFormat="1" applyFont="1" applyFill="1" applyAlignment="1">
      <alignment vertical="center" wrapText="1"/>
    </xf>
    <xf numFmtId="3" fontId="2" fillId="2" borderId="2" xfId="0" applyNumberFormat="1" applyFont="1" applyFill="1" applyBorder="1"/>
    <xf numFmtId="3" fontId="0" fillId="0" borderId="2" xfId="0" applyNumberFormat="1" applyBorder="1"/>
    <xf numFmtId="3" fontId="2" fillId="0" borderId="4" xfId="0" applyNumberFormat="1" applyFont="1" applyBorder="1" applyAlignment="1">
      <alignment vertical="top" wrapText="1"/>
    </xf>
    <xf numFmtId="0" fontId="22" fillId="2" borderId="3" xfId="0" applyFont="1" applyFill="1" applyBorder="1"/>
    <xf numFmtId="0" fontId="28" fillId="5" borderId="0" xfId="0" applyFont="1" applyFill="1"/>
    <xf numFmtId="3" fontId="28" fillId="5" borderId="0" xfId="0" applyNumberFormat="1" applyFont="1" applyFill="1"/>
    <xf numFmtId="3" fontId="29" fillId="5" borderId="0" xfId="0" applyNumberFormat="1" applyFont="1" applyFill="1"/>
    <xf numFmtId="3" fontId="21" fillId="5" borderId="0" xfId="0" applyNumberFormat="1" applyFont="1" applyFill="1"/>
    <xf numFmtId="0" fontId="30" fillId="5" borderId="0" xfId="0" applyFont="1" applyFill="1"/>
    <xf numFmtId="0" fontId="21" fillId="5" borderId="0" xfId="0" applyFont="1" applyFill="1"/>
    <xf numFmtId="0" fontId="20" fillId="2" borderId="3" xfId="0" applyFont="1" applyFill="1" applyBorder="1" applyAlignment="1">
      <alignment horizontal="center" vertical="center" wrapText="1"/>
    </xf>
    <xf numFmtId="3" fontId="16" fillId="2" borderId="1" xfId="0" applyNumberFormat="1" applyFont="1" applyFill="1" applyBorder="1" applyAlignment="1">
      <alignment horizontal="right"/>
    </xf>
    <xf numFmtId="3" fontId="18" fillId="2" borderId="1" xfId="0" applyNumberFormat="1" applyFont="1" applyFill="1" applyBorder="1" applyAlignment="1">
      <alignment vertical="center"/>
    </xf>
    <xf numFmtId="3" fontId="20" fillId="5" borderId="1" xfId="0" applyNumberFormat="1" applyFont="1" applyFill="1" applyBorder="1" applyAlignment="1">
      <alignment vertical="center"/>
    </xf>
    <xf numFmtId="3" fontId="19" fillId="5" borderId="1" xfId="0" applyNumberFormat="1" applyFont="1" applyFill="1" applyBorder="1" applyAlignment="1">
      <alignment vertical="center"/>
    </xf>
    <xf numFmtId="3" fontId="19" fillId="5" borderId="2" xfId="0" applyNumberFormat="1" applyFont="1" applyFill="1" applyBorder="1" applyAlignment="1">
      <alignment vertical="center"/>
    </xf>
    <xf numFmtId="3" fontId="20" fillId="5" borderId="4" xfId="0" applyNumberFormat="1" applyFont="1" applyFill="1" applyBorder="1" applyAlignment="1">
      <alignment vertical="center"/>
    </xf>
    <xf numFmtId="0" fontId="22" fillId="5" borderId="3" xfId="0" applyFont="1" applyFill="1" applyBorder="1"/>
    <xf numFmtId="4" fontId="16" fillId="2" borderId="4" xfId="0" applyNumberFormat="1" applyFont="1" applyFill="1" applyBorder="1" applyAlignment="1">
      <alignment vertical="center"/>
    </xf>
    <xf numFmtId="4" fontId="18" fillId="2" borderId="4" xfId="0" applyNumberFormat="1" applyFont="1" applyFill="1" applyBorder="1" applyAlignment="1">
      <alignment vertical="center"/>
    </xf>
    <xf numFmtId="4" fontId="16" fillId="2" borderId="2" xfId="0" applyNumberFormat="1" applyFont="1" applyFill="1" applyBorder="1" applyAlignment="1">
      <alignment vertical="center"/>
    </xf>
    <xf numFmtId="3" fontId="1" fillId="0" borderId="2" xfId="0" applyNumberFormat="1" applyFont="1" applyBorder="1" applyAlignment="1">
      <alignment vertical="top" wrapText="1"/>
    </xf>
    <xf numFmtId="4" fontId="2" fillId="0" borderId="4" xfId="0" applyNumberFormat="1" applyFont="1" applyBorder="1" applyAlignment="1">
      <alignment vertical="top" wrapText="1"/>
    </xf>
    <xf numFmtId="4" fontId="1" fillId="0" borderId="4" xfId="0" applyNumberFormat="1" applyFont="1" applyBorder="1" applyAlignment="1">
      <alignment vertical="top" wrapText="1"/>
    </xf>
    <xf numFmtId="4" fontId="1" fillId="0" borderId="1" xfId="0" applyNumberFormat="1" applyFont="1" applyBorder="1" applyAlignment="1">
      <alignment vertical="top" wrapText="1"/>
    </xf>
    <xf numFmtId="4" fontId="23" fillId="4" borderId="1" xfId="0" applyNumberFormat="1" applyFont="1" applyFill="1" applyBorder="1" applyAlignment="1">
      <alignment vertical="top" wrapText="1"/>
    </xf>
    <xf numFmtId="0" fontId="18" fillId="0" borderId="0" xfId="0" applyFont="1" applyFill="1" applyBorder="1" applyAlignment="1">
      <alignment horizontal="center"/>
    </xf>
    <xf numFmtId="3" fontId="16" fillId="0" borderId="0" xfId="0" applyNumberFormat="1" applyFont="1" applyFill="1" applyBorder="1" applyAlignment="1"/>
    <xf numFmtId="0" fontId="16" fillId="0" borderId="0" xfId="0" applyFont="1" applyFill="1" applyBorder="1" applyAlignment="1"/>
    <xf numFmtId="0" fontId="17" fillId="0" borderId="0" xfId="0" applyFont="1" applyFill="1" applyBorder="1" applyAlignment="1">
      <alignment horizontal="center"/>
    </xf>
    <xf numFmtId="41" fontId="16" fillId="0" borderId="0" xfId="0" applyNumberFormat="1" applyFont="1" applyFill="1" applyBorder="1" applyAlignment="1"/>
    <xf numFmtId="41" fontId="31" fillId="0" borderId="0" xfId="0" applyNumberFormat="1" applyFont="1" applyFill="1" applyBorder="1" applyAlignment="1"/>
    <xf numFmtId="0" fontId="19" fillId="0" borderId="1" xfId="0" applyFont="1" applyFill="1" applyBorder="1" applyAlignment="1">
      <alignment horizontal="center" vertical="center" wrapText="1"/>
    </xf>
    <xf numFmtId="41" fontId="16" fillId="0" borderId="1" xfId="0" applyNumberFormat="1" applyFont="1" applyBorder="1" applyAlignment="1">
      <alignment horizontal="right" vertical="center" wrapText="1"/>
    </xf>
    <xf numFmtId="0" fontId="20" fillId="2" borderId="3" xfId="0" applyFont="1" applyFill="1" applyBorder="1" applyAlignment="1">
      <alignment horizontal="center" vertical="center" wrapText="1"/>
    </xf>
    <xf numFmtId="41" fontId="4" fillId="0" borderId="0" xfId="0" applyNumberFormat="1" applyFont="1" applyAlignment="1"/>
    <xf numFmtId="41" fontId="18" fillId="0" borderId="0" xfId="0" applyNumberFormat="1" applyFont="1" applyFill="1" applyBorder="1" applyAlignment="1">
      <alignment horizontal="center"/>
    </xf>
    <xf numFmtId="41" fontId="17" fillId="0" borderId="0" xfId="0" applyNumberFormat="1" applyFont="1" applyFill="1" applyBorder="1" applyAlignment="1">
      <alignment horizontal="center"/>
    </xf>
    <xf numFmtId="41" fontId="17" fillId="0" borderId="0" xfId="0" applyNumberFormat="1" applyFont="1" applyFill="1" applyBorder="1" applyAlignment="1"/>
    <xf numFmtId="168" fontId="20" fillId="0" borderId="5" xfId="0" applyNumberFormat="1" applyFont="1" applyBorder="1" applyAlignment="1">
      <alignment vertical="center" wrapText="1"/>
    </xf>
    <xf numFmtId="168" fontId="20" fillId="0" borderId="8" xfId="0" applyNumberFormat="1" applyFont="1" applyBorder="1" applyAlignment="1">
      <alignment horizontal="center" vertical="center" wrapText="1"/>
    </xf>
    <xf numFmtId="41" fontId="18" fillId="2" borderId="5" xfId="0" applyNumberFormat="1" applyFont="1" applyFill="1" applyBorder="1" applyAlignment="1">
      <alignment horizontal="right" vertical="center" wrapText="1"/>
    </xf>
    <xf numFmtId="167" fontId="18" fillId="2" borderId="4" xfId="0" applyNumberFormat="1" applyFont="1" applyFill="1" applyBorder="1" applyAlignment="1">
      <alignment horizontal="right" vertical="center" wrapText="1"/>
    </xf>
    <xf numFmtId="3" fontId="18" fillId="2" borderId="4" xfId="0" applyNumberFormat="1" applyFont="1" applyFill="1" applyBorder="1" applyAlignment="1">
      <alignment vertical="center"/>
    </xf>
    <xf numFmtId="0" fontId="20" fillId="0" borderId="1" xfId="0" applyFont="1" applyBorder="1" applyAlignment="1">
      <alignment horizontal="center" vertical="center" wrapText="1"/>
    </xf>
    <xf numFmtId="168" fontId="20" fillId="0" borderId="1" xfId="0" applyNumberFormat="1" applyFont="1" applyBorder="1" applyAlignment="1">
      <alignment vertical="center" wrapText="1"/>
    </xf>
    <xf numFmtId="0" fontId="19" fillId="0" borderId="1" xfId="0" applyFont="1" applyBorder="1" applyAlignment="1">
      <alignment horizontal="center" vertical="center" wrapText="1"/>
    </xf>
    <xf numFmtId="168" fontId="19" fillId="0" borderId="1" xfId="0" applyNumberFormat="1" applyFont="1" applyBorder="1" applyAlignment="1">
      <alignment vertical="center" wrapText="1"/>
    </xf>
    <xf numFmtId="167" fontId="16" fillId="2" borderId="4" xfId="0" applyNumberFormat="1" applyFont="1" applyFill="1" applyBorder="1" applyAlignment="1">
      <alignment horizontal="right" vertical="center" wrapText="1"/>
    </xf>
    <xf numFmtId="168" fontId="19" fillId="0" borderId="1" xfId="0" applyNumberFormat="1" applyFont="1" applyFill="1" applyBorder="1" applyAlignment="1">
      <alignment vertical="center" wrapText="1"/>
    </xf>
    <xf numFmtId="41" fontId="16" fillId="2" borderId="10" xfId="0" applyNumberFormat="1" applyFont="1" applyFill="1" applyBorder="1" applyAlignment="1">
      <alignment horizontal="right" vertical="center" wrapText="1"/>
    </xf>
    <xf numFmtId="3" fontId="16" fillId="2" borderId="10" xfId="0" applyNumberFormat="1" applyFont="1" applyFill="1" applyBorder="1" applyAlignment="1">
      <alignment horizontal="right" vertical="center" wrapText="1"/>
    </xf>
    <xf numFmtId="0" fontId="16" fillId="2" borderId="2" xfId="0" applyFont="1" applyFill="1" applyBorder="1" applyAlignment="1">
      <alignment vertical="center"/>
    </xf>
    <xf numFmtId="3" fontId="16" fillId="2" borderId="2" xfId="0" applyNumberFormat="1" applyFont="1" applyFill="1" applyBorder="1" applyAlignment="1">
      <alignment vertical="center"/>
    </xf>
    <xf numFmtId="167" fontId="16" fillId="2" borderId="2" xfId="0" applyNumberFormat="1" applyFont="1" applyFill="1" applyBorder="1" applyAlignment="1">
      <alignment horizontal="right" vertical="center" wrapText="1"/>
    </xf>
    <xf numFmtId="0" fontId="8" fillId="2" borderId="0" xfId="0" applyFont="1" applyFill="1" applyAlignment="1"/>
    <xf numFmtId="0" fontId="13" fillId="2" borderId="0" xfId="0" applyFont="1" applyFill="1"/>
    <xf numFmtId="0" fontId="6" fillId="2" borderId="0" xfId="0" applyFont="1" applyFill="1" applyAlignment="1">
      <alignment wrapText="1"/>
    </xf>
    <xf numFmtId="0" fontId="9" fillId="2" borderId="0" xfId="0" applyFont="1" applyFill="1"/>
    <xf numFmtId="0" fontId="32" fillId="2" borderId="0" xfId="0" applyFont="1" applyFill="1"/>
    <xf numFmtId="0" fontId="4" fillId="2" borderId="0" xfId="0" applyFont="1" applyFill="1"/>
    <xf numFmtId="0" fontId="1" fillId="2" borderId="0" xfId="0" applyFont="1" applyFill="1"/>
    <xf numFmtId="0" fontId="33" fillId="2" borderId="9" xfId="0" applyFont="1" applyFill="1" applyBorder="1" applyAlignment="1">
      <alignment vertical="center" wrapText="1"/>
    </xf>
    <xf numFmtId="0" fontId="33" fillId="2" borderId="7" xfId="0" applyFont="1" applyFill="1" applyBorder="1" applyAlignment="1">
      <alignment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3" xfId="0" applyFont="1" applyFill="1" applyBorder="1" applyAlignment="1">
      <alignment horizontal="center"/>
    </xf>
    <xf numFmtId="0" fontId="11" fillId="2" borderId="3" xfId="0" applyFont="1" applyFill="1" applyBorder="1" applyAlignment="1">
      <alignment horizontal="center" vertical="center" wrapText="1"/>
    </xf>
    <xf numFmtId="0" fontId="11" fillId="2" borderId="3" xfId="0" applyFont="1" applyFill="1" applyBorder="1"/>
    <xf numFmtId="0" fontId="1" fillId="2" borderId="3" xfId="0" applyFont="1" applyFill="1" applyBorder="1"/>
    <xf numFmtId="0" fontId="11" fillId="5" borderId="0" xfId="0" applyFont="1" applyFill="1"/>
    <xf numFmtId="0" fontId="11" fillId="2" borderId="0" xfId="0" applyFont="1" applyFill="1"/>
    <xf numFmtId="41" fontId="10" fillId="2" borderId="4" xfId="0" applyNumberFormat="1" applyFont="1" applyFill="1" applyBorder="1" applyAlignment="1">
      <alignment horizontal="right" vertical="center" wrapText="1"/>
    </xf>
    <xf numFmtId="167" fontId="2" fillId="2" borderId="4" xfId="0" applyNumberFormat="1" applyFont="1" applyFill="1" applyBorder="1" applyAlignment="1">
      <alignment horizontal="right" vertical="center" wrapText="1"/>
    </xf>
    <xf numFmtId="4" fontId="2" fillId="2" borderId="4" xfId="0" applyNumberFormat="1" applyFont="1" applyFill="1" applyBorder="1" applyAlignment="1">
      <alignment vertical="center"/>
    </xf>
    <xf numFmtId="3" fontId="10" fillId="2" borderId="4" xfId="0" applyNumberFormat="1" applyFont="1" applyFill="1" applyBorder="1" applyAlignment="1">
      <alignment vertical="center"/>
    </xf>
    <xf numFmtId="3" fontId="10" fillId="5" borderId="0" xfId="0" applyNumberFormat="1" applyFont="1" applyFill="1" applyAlignment="1">
      <alignment vertical="center"/>
    </xf>
    <xf numFmtId="41" fontId="10" fillId="2" borderId="1" xfId="0" applyNumberFormat="1" applyFont="1" applyFill="1" applyBorder="1" applyAlignment="1">
      <alignment horizontal="right" vertical="center" wrapText="1"/>
    </xf>
    <xf numFmtId="3" fontId="10" fillId="2" borderId="1" xfId="0" applyNumberFormat="1" applyFont="1" applyFill="1" applyBorder="1" applyAlignment="1">
      <alignment vertical="center"/>
    </xf>
    <xf numFmtId="41" fontId="9" fillId="2" borderId="1" xfId="0" applyNumberFormat="1" applyFont="1" applyFill="1" applyBorder="1" applyAlignment="1">
      <alignment horizontal="right" wrapText="1"/>
    </xf>
    <xf numFmtId="3" fontId="9" fillId="2" borderId="1" xfId="0" applyNumberFormat="1" applyFont="1" applyFill="1" applyBorder="1"/>
    <xf numFmtId="167" fontId="1" fillId="2" borderId="4" xfId="0" applyNumberFormat="1" applyFont="1" applyFill="1" applyBorder="1" applyAlignment="1">
      <alignment horizontal="right" vertical="center" wrapText="1"/>
    </xf>
    <xf numFmtId="4" fontId="1" fillId="2" borderId="4" xfId="0" applyNumberFormat="1" applyFont="1" applyFill="1" applyBorder="1" applyAlignment="1">
      <alignment vertical="center"/>
    </xf>
    <xf numFmtId="3" fontId="9" fillId="5" borderId="0" xfId="0" applyNumberFormat="1" applyFont="1" applyFill="1" applyAlignment="1">
      <alignment vertical="center"/>
    </xf>
    <xf numFmtId="41" fontId="9" fillId="2" borderId="1" xfId="0" applyNumberFormat="1" applyFont="1" applyFill="1" applyBorder="1" applyAlignment="1">
      <alignment horizontal="right" vertical="center" wrapText="1"/>
    </xf>
    <xf numFmtId="0" fontId="9" fillId="2" borderId="1" xfId="0" applyFont="1" applyFill="1" applyBorder="1" applyAlignment="1">
      <alignment horizontal="center"/>
    </xf>
    <xf numFmtId="0" fontId="9" fillId="2" borderId="1" xfId="0" applyFont="1" applyFill="1" applyBorder="1" applyAlignment="1">
      <alignment vertical="center" wrapText="1"/>
    </xf>
    <xf numFmtId="41" fontId="10" fillId="2" borderId="1" xfId="0" applyNumberFormat="1" applyFont="1" applyFill="1" applyBorder="1" applyAlignment="1">
      <alignment horizontal="right" wrapText="1"/>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3" fontId="1" fillId="2" borderId="1" xfId="0" applyNumberFormat="1" applyFont="1" applyFill="1" applyBorder="1"/>
    <xf numFmtId="0" fontId="10" fillId="2" borderId="1" xfId="0" applyFont="1" applyFill="1" applyBorder="1" applyAlignment="1">
      <alignment vertical="center" wrapText="1"/>
    </xf>
    <xf numFmtId="41" fontId="1" fillId="2" borderId="1" xfId="0" applyNumberFormat="1" applyFont="1" applyFill="1" applyBorder="1" applyAlignment="1">
      <alignment horizontal="right" wrapText="1"/>
    </xf>
    <xf numFmtId="3" fontId="9" fillId="2" borderId="1" xfId="0" applyNumberFormat="1" applyFont="1" applyFill="1" applyBorder="1" applyAlignment="1">
      <alignment horizontal="right" wrapText="1"/>
    </xf>
    <xf numFmtId="0" fontId="1" fillId="2" borderId="2" xfId="0" applyFont="1" applyFill="1" applyBorder="1" applyAlignment="1">
      <alignment horizontal="center"/>
    </xf>
    <xf numFmtId="0" fontId="9" fillId="2" borderId="2" xfId="0" applyFont="1" applyFill="1" applyBorder="1" applyAlignment="1">
      <alignment horizontal="justify" wrapText="1"/>
    </xf>
    <xf numFmtId="0" fontId="1" fillId="2" borderId="2" xfId="0" applyFont="1" applyFill="1" applyBorder="1"/>
    <xf numFmtId="3" fontId="9" fillId="2" borderId="2" xfId="0" applyNumberFormat="1" applyFont="1" applyFill="1" applyBorder="1"/>
    <xf numFmtId="167" fontId="1" fillId="2" borderId="2" xfId="0" applyNumberFormat="1" applyFont="1" applyFill="1" applyBorder="1" applyAlignment="1">
      <alignment horizontal="right" vertical="center" wrapText="1"/>
    </xf>
    <xf numFmtId="4" fontId="1" fillId="2" borderId="2" xfId="0" applyNumberFormat="1" applyFont="1" applyFill="1" applyBorder="1" applyAlignment="1">
      <alignment vertical="center"/>
    </xf>
    <xf numFmtId="0" fontId="9" fillId="2" borderId="5" xfId="0" applyFont="1" applyFill="1" applyBorder="1" applyAlignment="1">
      <alignment horizontal="justify" wrapText="1"/>
    </xf>
    <xf numFmtId="3" fontId="9" fillId="2" borderId="5" xfId="0" applyNumberFormat="1" applyFont="1" applyFill="1" applyBorder="1"/>
    <xf numFmtId="3" fontId="9" fillId="2" borderId="0" xfId="0" applyNumberFormat="1" applyFont="1" applyFill="1" applyBorder="1"/>
    <xf numFmtId="0" fontId="9" fillId="2" borderId="1" xfId="0" applyFont="1" applyFill="1" applyBorder="1" applyAlignment="1">
      <alignment horizontal="justify" wrapText="1"/>
    </xf>
    <xf numFmtId="3" fontId="9" fillId="4" borderId="1" xfId="0" applyNumberFormat="1" applyFont="1" applyFill="1" applyBorder="1"/>
    <xf numFmtId="0" fontId="9" fillId="2" borderId="1" xfId="0" applyFont="1" applyFill="1" applyBorder="1"/>
    <xf numFmtId="0" fontId="9" fillId="2" borderId="0" xfId="0" applyFont="1" applyFill="1" applyBorder="1"/>
    <xf numFmtId="0" fontId="9" fillId="2" borderId="2" xfId="0" applyFont="1" applyFill="1" applyBorder="1"/>
    <xf numFmtId="0" fontId="9" fillId="2" borderId="6" xfId="0" applyFont="1" applyFill="1" applyBorder="1" applyAlignment="1">
      <alignment horizontal="justify" wrapText="1"/>
    </xf>
    <xf numFmtId="3" fontId="9" fillId="2" borderId="6" xfId="0" applyNumberFormat="1" applyFont="1" applyFill="1" applyBorder="1"/>
    <xf numFmtId="41" fontId="0" fillId="0" borderId="0" xfId="0" applyNumberFormat="1"/>
    <xf numFmtId="3" fontId="34" fillId="0" borderId="7" xfId="0" applyNumberFormat="1" applyFont="1" applyFill="1" applyBorder="1" applyAlignment="1">
      <alignment vertical="center" wrapText="1"/>
    </xf>
    <xf numFmtId="0" fontId="31" fillId="0" borderId="0" xfId="0" applyFont="1" applyFill="1" applyBorder="1" applyAlignment="1">
      <alignment horizontal="center"/>
    </xf>
    <xf numFmtId="0" fontId="34" fillId="0" borderId="0" xfId="0" applyFont="1" applyFill="1" applyBorder="1" applyAlignment="1">
      <alignment horizontal="center"/>
    </xf>
    <xf numFmtId="41" fontId="34" fillId="0" borderId="3" xfId="0" applyNumberFormat="1" applyFont="1" applyFill="1" applyBorder="1" applyAlignment="1">
      <alignment horizontal="center" vertical="center" wrapText="1"/>
    </xf>
    <xf numFmtId="41" fontId="35" fillId="0" borderId="3" xfId="0" applyNumberFormat="1" applyFont="1" applyFill="1" applyBorder="1" applyAlignment="1">
      <alignment horizontal="center" vertical="center" wrapText="1"/>
    </xf>
    <xf numFmtId="41" fontId="34" fillId="0" borderId="0" xfId="0" applyNumberFormat="1" applyFont="1" applyFill="1" applyBorder="1" applyAlignment="1">
      <alignment horizontal="center" vertical="center" wrapText="1"/>
    </xf>
    <xf numFmtId="0" fontId="34" fillId="0" borderId="0" xfId="0" applyFont="1" applyFill="1" applyBorder="1" applyAlignment="1">
      <alignment horizontal="center" vertical="center" wrapText="1"/>
    </xf>
    <xf numFmtId="0" fontId="31" fillId="0" borderId="0" xfId="0" applyFont="1" applyFill="1" applyBorder="1" applyAlignment="1"/>
    <xf numFmtId="0" fontId="31" fillId="2" borderId="1" xfId="0" applyFont="1" applyFill="1" applyBorder="1" applyAlignment="1">
      <alignment horizontal="center" vertical="center" wrapText="1"/>
    </xf>
    <xf numFmtId="0" fontId="31" fillId="2" borderId="1" xfId="0" applyFont="1" applyFill="1" applyBorder="1" applyAlignment="1">
      <alignment vertical="center" wrapText="1"/>
    </xf>
    <xf numFmtId="41" fontId="31" fillId="2" borderId="1" xfId="0" applyNumberFormat="1" applyFont="1" applyFill="1" applyBorder="1" applyAlignment="1">
      <alignment horizontal="right" vertical="center" wrapText="1"/>
    </xf>
    <xf numFmtId="0" fontId="38" fillId="0" borderId="0" xfId="0" applyFont="1" applyFill="1" applyBorder="1" applyAlignment="1"/>
    <xf numFmtId="3" fontId="31" fillId="0" borderId="0" xfId="0" applyNumberFormat="1" applyFont="1" applyFill="1" applyBorder="1" applyAlignment="1"/>
    <xf numFmtId="0" fontId="38" fillId="2" borderId="1" xfId="0" applyFont="1" applyFill="1" applyBorder="1" applyAlignment="1">
      <alignment vertical="center" wrapText="1"/>
    </xf>
    <xf numFmtId="41" fontId="38" fillId="2" borderId="1" xfId="0" applyNumberFormat="1" applyFont="1" applyFill="1" applyBorder="1" applyAlignment="1">
      <alignment horizontal="right" vertical="center" wrapText="1"/>
    </xf>
    <xf numFmtId="3" fontId="38" fillId="0" borderId="0" xfId="0" applyNumberFormat="1" applyFont="1" applyFill="1" applyBorder="1" applyAlignment="1"/>
    <xf numFmtId="0" fontId="38" fillId="2" borderId="1" xfId="0" applyFont="1" applyFill="1" applyBorder="1" applyAlignment="1">
      <alignment horizontal="center" vertical="center" wrapText="1"/>
    </xf>
    <xf numFmtId="3" fontId="31" fillId="0" borderId="9" xfId="0" applyNumberFormat="1" applyFont="1" applyFill="1" applyBorder="1" applyAlignment="1">
      <alignment wrapText="1"/>
    </xf>
    <xf numFmtId="3" fontId="31" fillId="0" borderId="0" xfId="0" applyNumberFormat="1" applyFont="1" applyFill="1" applyBorder="1" applyAlignment="1">
      <alignment wrapText="1"/>
    </xf>
    <xf numFmtId="41" fontId="31" fillId="0" borderId="0" xfId="0" applyNumberFormat="1" applyFont="1" applyFill="1" applyBorder="1" applyAlignment="1">
      <alignment wrapText="1"/>
    </xf>
    <xf numFmtId="0" fontId="38" fillId="2" borderId="3" xfId="0" applyFont="1" applyFill="1" applyBorder="1" applyAlignment="1">
      <alignment vertical="center"/>
    </xf>
    <xf numFmtId="0" fontId="38" fillId="0" borderId="9" xfId="0" applyFont="1" applyFill="1" applyBorder="1" applyAlignment="1">
      <alignment vertical="top" wrapText="1"/>
    </xf>
    <xf numFmtId="3" fontId="38" fillId="0" borderId="9" xfId="0" applyNumberFormat="1" applyFont="1" applyFill="1" applyBorder="1" applyAlignment="1">
      <alignment wrapText="1"/>
    </xf>
    <xf numFmtId="3" fontId="38" fillId="0" borderId="0" xfId="0" applyNumberFormat="1" applyFont="1" applyFill="1" applyBorder="1" applyAlignment="1">
      <alignment wrapText="1"/>
    </xf>
    <xf numFmtId="41" fontId="38" fillId="0" borderId="0" xfId="0" applyNumberFormat="1" applyFont="1" applyFill="1" applyBorder="1" applyAlignment="1">
      <alignment wrapText="1"/>
    </xf>
    <xf numFmtId="0" fontId="31" fillId="0" borderId="9" xfId="0" applyFont="1" applyFill="1" applyBorder="1" applyAlignment="1"/>
    <xf numFmtId="41" fontId="31" fillId="0" borderId="9" xfId="0" applyNumberFormat="1" applyFont="1" applyFill="1" applyBorder="1" applyAlignment="1">
      <alignment horizontal="right" wrapText="1"/>
    </xf>
    <xf numFmtId="0" fontId="31" fillId="0" borderId="15" xfId="0" applyFont="1" applyFill="1" applyBorder="1" applyAlignment="1"/>
    <xf numFmtId="41" fontId="31" fillId="0" borderId="15" xfId="0" applyNumberFormat="1" applyFont="1" applyFill="1" applyBorder="1" applyAlignment="1">
      <alignment horizontal="right" wrapText="1"/>
    </xf>
    <xf numFmtId="0" fontId="34" fillId="2" borderId="5" xfId="0" applyFont="1" applyFill="1" applyBorder="1" applyAlignment="1">
      <alignment horizontal="center" vertical="center" wrapText="1"/>
    </xf>
    <xf numFmtId="41" fontId="34" fillId="2" borderId="4" xfId="0" applyNumberFormat="1" applyFont="1" applyFill="1" applyBorder="1" applyAlignment="1">
      <alignment horizontal="right" vertical="center" wrapText="1"/>
    </xf>
    <xf numFmtId="41" fontId="34" fillId="2" borderId="0" xfId="0" applyNumberFormat="1" applyFont="1" applyFill="1" applyBorder="1" applyAlignment="1"/>
    <xf numFmtId="0" fontId="34" fillId="2" borderId="0" xfId="0" applyFont="1" applyFill="1" applyBorder="1" applyAlignment="1"/>
    <xf numFmtId="0" fontId="34" fillId="2" borderId="1" xfId="0" applyFont="1" applyFill="1" applyBorder="1" applyAlignment="1">
      <alignment horizontal="center" vertical="center" wrapText="1"/>
    </xf>
    <xf numFmtId="0" fontId="34" fillId="2" borderId="1" xfId="0" applyFont="1" applyFill="1" applyBorder="1" applyAlignment="1">
      <alignment vertical="center" wrapText="1"/>
    </xf>
    <xf numFmtId="41" fontId="34" fillId="2" borderId="1" xfId="0" applyNumberFormat="1" applyFont="1" applyFill="1" applyBorder="1" applyAlignment="1">
      <alignment horizontal="right" vertical="center" wrapText="1"/>
    </xf>
    <xf numFmtId="0" fontId="37" fillId="2" borderId="1" xfId="0" applyFont="1" applyFill="1" applyBorder="1" applyAlignment="1">
      <alignment horizontal="center" vertical="center" wrapText="1"/>
    </xf>
    <xf numFmtId="0" fontId="37" fillId="2" borderId="1" xfId="0" applyFont="1" applyFill="1" applyBorder="1" applyAlignment="1">
      <alignment vertical="center" wrapText="1"/>
    </xf>
    <xf numFmtId="41" fontId="37" fillId="2" borderId="1" xfId="0" applyNumberFormat="1" applyFont="1" applyFill="1" applyBorder="1" applyAlignment="1">
      <alignment horizontal="right" vertical="center" wrapText="1"/>
    </xf>
    <xf numFmtId="0" fontId="37" fillId="2" borderId="0" xfId="0" applyFont="1" applyFill="1" applyBorder="1" applyAlignment="1"/>
    <xf numFmtId="0" fontId="31" fillId="2" borderId="0" xfId="0" applyFont="1" applyFill="1" applyBorder="1" applyAlignment="1"/>
    <xf numFmtId="0" fontId="38" fillId="2" borderId="0" xfId="0" applyFont="1" applyFill="1" applyBorder="1" applyAlignment="1"/>
    <xf numFmtId="3" fontId="37" fillId="2" borderId="0" xfId="0" applyNumberFormat="1" applyFont="1" applyFill="1" applyBorder="1" applyAlignment="1"/>
    <xf numFmtId="3" fontId="31" fillId="2" borderId="0" xfId="0" applyNumberFormat="1" applyFont="1" applyFill="1" applyBorder="1" applyAlignment="1"/>
    <xf numFmtId="3" fontId="38" fillId="2" borderId="0" xfId="0" applyNumberFormat="1" applyFont="1" applyFill="1" applyBorder="1" applyAlignment="1"/>
    <xf numFmtId="41" fontId="31" fillId="2" borderId="0" xfId="0" applyNumberFormat="1" applyFont="1" applyFill="1" applyBorder="1" applyAlignment="1">
      <alignment horizontal="right" wrapText="1"/>
    </xf>
    <xf numFmtId="0" fontId="38" fillId="2" borderId="1" xfId="0" applyFont="1" applyFill="1" applyBorder="1" applyAlignment="1">
      <alignment vertical="top" wrapText="1"/>
    </xf>
    <xf numFmtId="3" fontId="34" fillId="2" borderId="0" xfId="0" applyNumberFormat="1" applyFont="1" applyFill="1" applyBorder="1" applyAlignment="1"/>
    <xf numFmtId="0" fontId="34" fillId="2" borderId="2" xfId="0" applyFont="1" applyFill="1" applyBorder="1" applyAlignment="1">
      <alignment horizontal="center" vertical="center" wrapText="1"/>
    </xf>
    <xf numFmtId="0" fontId="34" fillId="2" borderId="2" xfId="0" applyFont="1" applyFill="1" applyBorder="1" applyAlignment="1">
      <alignment vertical="center" wrapText="1"/>
    </xf>
    <xf numFmtId="41" fontId="34" fillId="2" borderId="2" xfId="0" applyNumberFormat="1" applyFont="1" applyFill="1" applyBorder="1" applyAlignment="1">
      <alignment horizontal="right" vertical="center" wrapText="1"/>
    </xf>
    <xf numFmtId="0" fontId="8" fillId="0" borderId="0" xfId="4" applyFont="1" applyAlignment="1">
      <alignment horizontal="center" vertical="center"/>
    </xf>
    <xf numFmtId="0" fontId="6" fillId="0" borderId="0" xfId="4" applyFont="1" applyAlignment="1">
      <alignment horizontal="center" vertical="center" wrapText="1"/>
    </xf>
    <xf numFmtId="0" fontId="13" fillId="0" borderId="0" xfId="4" applyFont="1" applyAlignment="1">
      <alignment horizontal="left" vertical="center" wrapText="1"/>
    </xf>
    <xf numFmtId="0" fontId="8" fillId="0" borderId="0" xfId="0" applyFont="1" applyAlignment="1">
      <alignment horizontal="center"/>
    </xf>
    <xf numFmtId="0" fontId="18" fillId="2" borderId="3"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26" fillId="2" borderId="0" xfId="0" applyFont="1" applyFill="1" applyAlignment="1">
      <alignment horizontal="center"/>
    </xf>
    <xf numFmtId="0" fontId="27" fillId="2" borderId="0" xfId="0" applyFont="1" applyFill="1" applyAlignment="1">
      <alignment horizontal="center" wrapText="1"/>
    </xf>
    <xf numFmtId="0" fontId="17" fillId="2" borderId="12" xfId="0" applyFont="1" applyFill="1" applyBorder="1" applyAlignment="1">
      <alignment horizontal="center"/>
    </xf>
    <xf numFmtId="0" fontId="20" fillId="2" borderId="11"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8" fillId="2" borderId="0" xfId="0" applyFont="1" applyFill="1" applyAlignment="1">
      <alignment horizontal="center"/>
    </xf>
    <xf numFmtId="0" fontId="6" fillId="2" borderId="0" xfId="0" applyFont="1" applyFill="1" applyAlignment="1">
      <alignment horizontal="center" wrapText="1"/>
    </xf>
    <xf numFmtId="0" fontId="33" fillId="2" borderId="14"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2" fillId="2" borderId="12" xfId="0" applyFont="1" applyFill="1" applyBorder="1" applyAlignment="1">
      <alignment horizontal="center"/>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wrapText="1"/>
    </xf>
    <xf numFmtId="0" fontId="4" fillId="0" borderId="12" xfId="0" applyFont="1" applyBorder="1" applyAlignment="1">
      <alignment horizontal="center"/>
    </xf>
    <xf numFmtId="0" fontId="2" fillId="0" borderId="3" xfId="0" applyFont="1" applyBorder="1" applyAlignment="1">
      <alignment horizontal="center" vertical="center" wrapText="1"/>
    </xf>
    <xf numFmtId="3" fontId="2" fillId="0" borderId="3" xfId="0" applyNumberFormat="1" applyFont="1" applyBorder="1" applyAlignment="1">
      <alignment horizontal="center" vertical="center" wrapText="1"/>
    </xf>
    <xf numFmtId="0" fontId="2" fillId="0" borderId="14" xfId="0" applyFont="1" applyBorder="1" applyAlignment="1">
      <alignment horizontal="center" wrapText="1"/>
    </xf>
    <xf numFmtId="0" fontId="2" fillId="0" borderId="9" xfId="0" applyFont="1" applyBorder="1" applyAlignment="1">
      <alignment horizontal="center" wrapText="1"/>
    </xf>
    <xf numFmtId="0" fontId="2" fillId="0" borderId="7" xfId="0" applyFont="1" applyBorder="1" applyAlignment="1">
      <alignment horizontal="center" wrapText="1"/>
    </xf>
    <xf numFmtId="3" fontId="2" fillId="0" borderId="5" xfId="0" applyNumberFormat="1" applyFont="1" applyBorder="1" applyAlignment="1">
      <alignment horizontal="center" vertical="center" wrapText="1"/>
    </xf>
    <xf numFmtId="0" fontId="28" fillId="5" borderId="13" xfId="0" applyFont="1" applyFill="1" applyBorder="1" applyAlignment="1">
      <alignment horizontal="center" vertical="center" wrapText="1"/>
    </xf>
    <xf numFmtId="0" fontId="2" fillId="0" borderId="12" xfId="0" applyFont="1" applyBorder="1" applyAlignment="1">
      <alignment horizont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3" fontId="2" fillId="0" borderId="11"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0" fontId="34" fillId="0" borderId="9" xfId="0" applyFont="1" applyFill="1" applyBorder="1" applyAlignment="1">
      <alignment horizontal="left" vertical="top" wrapText="1"/>
    </xf>
    <xf numFmtId="3" fontId="34" fillId="0" borderId="3" xfId="0" applyNumberFormat="1" applyFont="1" applyFill="1" applyBorder="1" applyAlignment="1">
      <alignment horizontal="center" vertical="center" wrapText="1"/>
    </xf>
    <xf numFmtId="0" fontId="18" fillId="0" borderId="0" xfId="0" applyFont="1" applyFill="1" applyBorder="1" applyAlignment="1">
      <alignment horizontal="center"/>
    </xf>
    <xf numFmtId="0" fontId="17" fillId="0" borderId="0" xfId="0" applyFont="1" applyFill="1" applyBorder="1" applyAlignment="1">
      <alignment horizontal="center" wrapText="1"/>
    </xf>
    <xf numFmtId="0" fontId="17" fillId="0" borderId="0" xfId="0" applyFont="1" applyFill="1" applyBorder="1" applyAlignment="1">
      <alignment horizontal="center"/>
    </xf>
    <xf numFmtId="3" fontId="34" fillId="0" borderId="14" xfId="0" applyNumberFormat="1" applyFont="1" applyFill="1" applyBorder="1" applyAlignment="1">
      <alignment horizontal="center" vertical="center" wrapText="1"/>
    </xf>
    <xf numFmtId="3" fontId="34" fillId="0" borderId="9" xfId="0" applyNumberFormat="1" applyFont="1" applyFill="1" applyBorder="1" applyAlignment="1">
      <alignment horizontal="center" vertical="center" wrapText="1"/>
    </xf>
    <xf numFmtId="41" fontId="34" fillId="0" borderId="14" xfId="0" applyNumberFormat="1" applyFont="1" applyFill="1" applyBorder="1" applyAlignment="1">
      <alignment horizontal="center" vertical="center" wrapText="1"/>
    </xf>
    <xf numFmtId="41" fontId="34" fillId="0" borderId="9" xfId="0" applyNumberFormat="1" applyFont="1" applyFill="1" applyBorder="1" applyAlignment="1">
      <alignment horizontal="center" vertical="center" wrapText="1"/>
    </xf>
    <xf numFmtId="41" fontId="34" fillId="0" borderId="7" xfId="0" applyNumberFormat="1" applyFont="1" applyFill="1" applyBorder="1" applyAlignment="1">
      <alignment horizontal="center" vertical="center" wrapText="1"/>
    </xf>
    <xf numFmtId="41" fontId="34" fillId="0" borderId="3" xfId="0" applyNumberFormat="1"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6" xfId="0" applyFont="1" applyFill="1" applyBorder="1" applyAlignment="1">
      <alignment horizontal="center" vertical="center" wrapText="1"/>
    </xf>
    <xf numFmtId="3" fontId="34" fillId="0" borderId="11" xfId="0" applyNumberFormat="1" applyFont="1" applyFill="1" applyBorder="1" applyAlignment="1">
      <alignment horizontal="center" vertical="center" wrapText="1"/>
    </xf>
    <xf numFmtId="3" fontId="34" fillId="0" borderId="13" xfId="0" applyNumberFormat="1" applyFont="1" applyFill="1" applyBorder="1" applyAlignment="1">
      <alignment horizontal="center" vertical="center" wrapText="1"/>
    </xf>
    <xf numFmtId="3" fontId="34" fillId="0" borderId="6" xfId="0" applyNumberFormat="1" applyFont="1" applyFill="1" applyBorder="1" applyAlignment="1">
      <alignment horizontal="center" vertical="center" wrapText="1"/>
    </xf>
    <xf numFmtId="0" fontId="34" fillId="0" borderId="9" xfId="0" applyFont="1" applyFill="1" applyBorder="1" applyAlignment="1">
      <alignment horizontal="center" vertical="top" wrapText="1"/>
    </xf>
    <xf numFmtId="0" fontId="34" fillId="0" borderId="3" xfId="0" applyFont="1" applyFill="1" applyBorder="1" applyAlignment="1">
      <alignment horizontal="center" vertical="center"/>
    </xf>
    <xf numFmtId="3" fontId="34" fillId="0" borderId="5" xfId="0" applyNumberFormat="1" applyFont="1" applyFill="1" applyBorder="1" applyAlignment="1">
      <alignment horizontal="center" vertical="center" wrapText="1"/>
    </xf>
    <xf numFmtId="3" fontId="34" fillId="0" borderId="1" xfId="0" applyNumberFormat="1" applyFont="1" applyFill="1" applyBorder="1" applyAlignment="1">
      <alignment horizontal="center" vertical="center" wrapText="1"/>
    </xf>
    <xf numFmtId="3" fontId="34" fillId="0" borderId="2" xfId="0" applyNumberFormat="1" applyFont="1" applyFill="1" applyBorder="1" applyAlignment="1">
      <alignment horizontal="center" vertical="center" wrapText="1"/>
    </xf>
  </cellXfs>
  <cellStyles count="5">
    <cellStyle name="Comma" xfId="1" builtinId="3"/>
    <cellStyle name="Comma_du toan 2009- khoi huyen" xfId="2"/>
    <cellStyle name="Normal" xfId="0" builtinId="0"/>
    <cellStyle name="Normal 2" xfId="3"/>
    <cellStyle name="Normal_du toan 2009- khoi huyen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2143125</xdr:colOff>
      <xdr:row>2</xdr:row>
      <xdr:rowOff>469900</xdr:rowOff>
    </xdr:from>
    <xdr:to>
      <xdr:col>2</xdr:col>
      <xdr:colOff>145883</xdr:colOff>
      <xdr:row>2</xdr:row>
      <xdr:rowOff>469900</xdr:rowOff>
    </xdr:to>
    <xdr:cxnSp macro="">
      <xdr:nvCxnSpPr>
        <xdr:cNvPr id="3" name="Straight Connector 2"/>
        <xdr:cNvCxnSpPr/>
      </xdr:nvCxnSpPr>
      <xdr:spPr>
        <a:xfrm>
          <a:off x="2606675" y="914400"/>
          <a:ext cx="11460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2262982</xdr:colOff>
      <xdr:row>3</xdr:row>
      <xdr:rowOff>25400</xdr:rowOff>
    </xdr:from>
    <xdr:to>
      <xdr:col>1</xdr:col>
      <xdr:colOff>3272632</xdr:colOff>
      <xdr:row>3</xdr:row>
      <xdr:rowOff>25400</xdr:rowOff>
    </xdr:to>
    <xdr:sp macro="" textlink="">
      <xdr:nvSpPr>
        <xdr:cNvPr id="33064" name="Line 1"/>
        <xdr:cNvSpPr>
          <a:spLocks noChangeShapeType="1"/>
        </xdr:cNvSpPr>
      </xdr:nvSpPr>
      <xdr:spPr bwMode="auto">
        <a:xfrm>
          <a:off x="2691607" y="906463"/>
          <a:ext cx="1009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2457450</xdr:colOff>
      <xdr:row>3</xdr:row>
      <xdr:rowOff>25400</xdr:rowOff>
    </xdr:from>
    <xdr:to>
      <xdr:col>1</xdr:col>
      <xdr:colOff>3568700</xdr:colOff>
      <xdr:row>3</xdr:row>
      <xdr:rowOff>25400</xdr:rowOff>
    </xdr:to>
    <xdr:sp macro="" textlink="">
      <xdr:nvSpPr>
        <xdr:cNvPr id="34033" name="Line 1"/>
        <xdr:cNvSpPr>
          <a:spLocks noChangeShapeType="1"/>
        </xdr:cNvSpPr>
      </xdr:nvSpPr>
      <xdr:spPr bwMode="auto">
        <a:xfrm>
          <a:off x="2794000" y="927100"/>
          <a:ext cx="1111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2362200</xdr:colOff>
      <xdr:row>3</xdr:row>
      <xdr:rowOff>6350</xdr:rowOff>
    </xdr:from>
    <xdr:to>
      <xdr:col>1</xdr:col>
      <xdr:colOff>3771900</xdr:colOff>
      <xdr:row>3</xdr:row>
      <xdr:rowOff>6350</xdr:rowOff>
    </xdr:to>
    <xdr:sp macro="" textlink="">
      <xdr:nvSpPr>
        <xdr:cNvPr id="36088" name="Line 1"/>
        <xdr:cNvSpPr>
          <a:spLocks noChangeShapeType="1"/>
        </xdr:cNvSpPr>
      </xdr:nvSpPr>
      <xdr:spPr bwMode="auto">
        <a:xfrm>
          <a:off x="2730500" y="996950"/>
          <a:ext cx="1409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workbookViewId="0">
      <selection activeCell="D11" sqref="D11"/>
    </sheetView>
  </sheetViews>
  <sheetFormatPr defaultColWidth="8.90625" defaultRowHeight="16.8"/>
  <cols>
    <col min="1" max="1" width="5.1796875" style="49" customWidth="1"/>
    <col min="2" max="2" width="35.36328125" style="49" customWidth="1"/>
    <col min="3" max="3" width="16.36328125" style="49" customWidth="1"/>
    <col min="4" max="4" width="15" style="49" customWidth="1"/>
    <col min="5" max="5" width="11.6328125" style="49" bestFit="1" customWidth="1"/>
    <col min="6" max="6" width="15.1796875" style="49" customWidth="1"/>
    <col min="7" max="16384" width="8.90625" style="49"/>
  </cols>
  <sheetData>
    <row r="1" spans="1:6" ht="18.75" customHeight="1">
      <c r="A1" s="282" t="s">
        <v>12</v>
      </c>
      <c r="B1" s="282"/>
      <c r="C1" s="282"/>
      <c r="D1" s="282"/>
    </row>
    <row r="2" spans="1:6">
      <c r="A2" s="279" t="s">
        <v>129</v>
      </c>
      <c r="B2" s="279"/>
      <c r="C2" s="279"/>
      <c r="D2" s="279"/>
    </row>
    <row r="3" spans="1:6" s="50" customFormat="1" ht="37.5" customHeight="1">
      <c r="A3" s="280" t="s">
        <v>223</v>
      </c>
      <c r="B3" s="280"/>
      <c r="C3" s="280"/>
      <c r="D3" s="280"/>
    </row>
    <row r="4" spans="1:6" s="50" customFormat="1">
      <c r="B4" s="51"/>
      <c r="C4" s="51"/>
      <c r="D4" s="52"/>
    </row>
    <row r="5" spans="1:6" s="50" customFormat="1">
      <c r="B5" s="51"/>
      <c r="C5" s="51"/>
      <c r="D5" s="53" t="s">
        <v>139</v>
      </c>
    </row>
    <row r="6" spans="1:6" s="55" customFormat="1" ht="45.6" customHeight="1">
      <c r="A6" s="23" t="s">
        <v>3</v>
      </c>
      <c r="B6" s="54" t="s">
        <v>130</v>
      </c>
      <c r="C6" s="54" t="s">
        <v>140</v>
      </c>
      <c r="D6" s="54" t="s">
        <v>141</v>
      </c>
    </row>
    <row r="7" spans="1:6" s="58" customFormat="1" ht="27" customHeight="1">
      <c r="A7" s="56" t="s">
        <v>4</v>
      </c>
      <c r="B7" s="57" t="s">
        <v>131</v>
      </c>
      <c r="C7" s="70">
        <f>'DTthu phát sinh'!C9</f>
        <v>112577000</v>
      </c>
      <c r="D7" s="74">
        <f>'DTthu phát sinh'!D9</f>
        <v>134858928</v>
      </c>
    </row>
    <row r="8" spans="1:6" s="58" customFormat="1" ht="33.6" customHeight="1">
      <c r="A8" s="59" t="s">
        <v>6</v>
      </c>
      <c r="B8" s="60" t="s">
        <v>132</v>
      </c>
      <c r="C8" s="75">
        <f>SUM(C9:C12)</f>
        <v>105476000</v>
      </c>
      <c r="D8" s="75">
        <f>SUM(D9:D12)</f>
        <v>125442000</v>
      </c>
      <c r="E8" s="101"/>
    </row>
    <row r="9" spans="1:6" s="50" customFormat="1" ht="36.6" customHeight="1">
      <c r="A9" s="73">
        <v>1</v>
      </c>
      <c r="B9" s="66" t="s">
        <v>133</v>
      </c>
      <c r="C9" s="76">
        <f>'DT thu NSX hưởng'!C10</f>
        <v>23692000</v>
      </c>
      <c r="D9" s="77">
        <f>'DT thu NSX hưởng'!D10</f>
        <v>26815072</v>
      </c>
    </row>
    <row r="10" spans="1:6" s="50" customFormat="1" ht="27" customHeight="1">
      <c r="A10" s="73">
        <v>2</v>
      </c>
      <c r="B10" s="66" t="s">
        <v>143</v>
      </c>
      <c r="C10" s="76">
        <f>'DT thu NSX hưởng'!C27</f>
        <v>0</v>
      </c>
      <c r="D10" s="77">
        <f>'DT thu NSX hưởng'!D27</f>
        <v>3688049</v>
      </c>
    </row>
    <row r="11" spans="1:6" s="50" customFormat="1" ht="27" customHeight="1">
      <c r="A11" s="73">
        <v>3</v>
      </c>
      <c r="B11" s="66" t="s">
        <v>144</v>
      </c>
      <c r="C11" s="76">
        <f>'DT thu NSX hưởng'!C28</f>
        <v>0</v>
      </c>
      <c r="D11" s="77">
        <f>'DT thu NSX hưởng'!E28</f>
        <v>504847</v>
      </c>
    </row>
    <row r="12" spans="1:6" s="50" customFormat="1" ht="27" customHeight="1">
      <c r="A12" s="73">
        <v>4</v>
      </c>
      <c r="B12" s="66" t="s">
        <v>142</v>
      </c>
      <c r="C12" s="76">
        <f>'DT thu NSX hưởng'!C29</f>
        <v>81784000</v>
      </c>
      <c r="D12" s="77">
        <f>'DT thu NSX hưởng'!D29</f>
        <v>94434032</v>
      </c>
    </row>
    <row r="13" spans="1:6" s="63" customFormat="1" ht="21.75" customHeight="1">
      <c r="A13" s="59" t="s">
        <v>7</v>
      </c>
      <c r="B13" s="61" t="s">
        <v>134</v>
      </c>
      <c r="C13" s="99">
        <f>C14+C15+C19</f>
        <v>105476000</v>
      </c>
      <c r="D13" s="99">
        <f>D14+D15+D19</f>
        <v>125441999.66600001</v>
      </c>
      <c r="E13" s="116"/>
      <c r="F13" s="62"/>
    </row>
    <row r="14" spans="1:6" s="58" customFormat="1" ht="23.25" customHeight="1">
      <c r="A14" s="64">
        <v>1</v>
      </c>
      <c r="B14" s="60" t="s">
        <v>77</v>
      </c>
      <c r="C14" s="75">
        <f>'Chi NSNN'!C9</f>
        <v>34893000</v>
      </c>
      <c r="D14" s="100">
        <f>'Chi NSNN'!D9</f>
        <v>42726905.516000003</v>
      </c>
    </row>
    <row r="15" spans="1:6" s="58" customFormat="1" ht="23.25" customHeight="1">
      <c r="A15" s="64">
        <v>2</v>
      </c>
      <c r="B15" s="60" t="s">
        <v>135</v>
      </c>
      <c r="C15" s="75">
        <f>'Chi NSNN'!C16</f>
        <v>69577000</v>
      </c>
      <c r="D15" s="100">
        <f>'Chi NSNN'!D16</f>
        <v>81709094.150000006</v>
      </c>
    </row>
    <row r="16" spans="1:6" s="50" customFormat="1" ht="21" customHeight="1">
      <c r="A16" s="65"/>
      <c r="B16" s="66" t="s">
        <v>136</v>
      </c>
      <c r="C16" s="76"/>
      <c r="D16" s="77"/>
    </row>
    <row r="17" spans="1:4" s="50" customFormat="1" ht="30.6" customHeight="1">
      <c r="A17" s="65" t="s">
        <v>2</v>
      </c>
      <c r="B17" s="66" t="s">
        <v>137</v>
      </c>
      <c r="C17" s="76">
        <f>'Chi NSNN'!C23</f>
        <v>33765000</v>
      </c>
      <c r="D17" s="76">
        <f>'Chi NSNN'!D23</f>
        <v>33962978</v>
      </c>
    </row>
    <row r="18" spans="1:4" s="50" customFormat="1" ht="24.6" customHeight="1">
      <c r="A18" s="65" t="s">
        <v>2</v>
      </c>
      <c r="B18" s="66" t="s">
        <v>138</v>
      </c>
      <c r="C18" s="76">
        <f>'Chi NSNN'!C26</f>
        <v>0</v>
      </c>
      <c r="D18" s="76">
        <f>'Chi NSNN'!D26</f>
        <v>0</v>
      </c>
    </row>
    <row r="19" spans="1:4" s="50" customFormat="1" ht="21" customHeight="1">
      <c r="A19" s="65">
        <v>3</v>
      </c>
      <c r="B19" s="60" t="s">
        <v>28</v>
      </c>
      <c r="C19" s="75">
        <f>'Chi NSNN'!C42</f>
        <v>1006000</v>
      </c>
      <c r="D19" s="75">
        <f>'Chi NSNN'!D42</f>
        <v>1006000</v>
      </c>
    </row>
    <row r="20" spans="1:4" s="50" customFormat="1">
      <c r="A20" s="67"/>
      <c r="B20" s="68"/>
      <c r="C20" s="71"/>
      <c r="D20" s="72"/>
    </row>
    <row r="21" spans="1:4" s="50" customFormat="1" ht="33.9" customHeight="1">
      <c r="B21" s="69"/>
      <c r="C21" s="69"/>
      <c r="D21" s="51"/>
    </row>
    <row r="22" spans="1:4" s="50" customFormat="1">
      <c r="B22" s="281"/>
      <c r="C22" s="281"/>
      <c r="D22" s="281"/>
    </row>
    <row r="23" spans="1:4" s="50" customFormat="1">
      <c r="B23" s="281"/>
      <c r="C23" s="281"/>
      <c r="D23" s="281"/>
    </row>
    <row r="24" spans="1:4" s="50" customFormat="1">
      <c r="B24" s="51"/>
      <c r="C24" s="51"/>
      <c r="D24" s="51"/>
    </row>
  </sheetData>
  <mergeCells count="5">
    <mergeCell ref="A2:D2"/>
    <mergeCell ref="A3:D3"/>
    <mergeCell ref="B22:D22"/>
    <mergeCell ref="B23:D23"/>
    <mergeCell ref="A1:D1"/>
  </mergeCells>
  <pageMargins left="0.7" right="0.3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90" zoomScaleNormal="90" workbookViewId="0">
      <selection activeCell="T5" sqref="T5"/>
    </sheetView>
  </sheetViews>
  <sheetFormatPr defaultColWidth="8.90625" defaultRowHeight="18"/>
  <cols>
    <col min="1" max="1" width="5" style="22" customWidth="1"/>
    <col min="2" max="2" width="39.54296875" style="22" customWidth="1"/>
    <col min="3" max="3" width="14.08984375" style="22" customWidth="1"/>
    <col min="4" max="4" width="14.1796875" style="22" customWidth="1"/>
    <col min="5" max="16" width="8.984375E-2" style="22" hidden="1" customWidth="1"/>
    <col min="17" max="17" width="0.453125" style="22" customWidth="1"/>
    <col min="18" max="16384" width="8.90625" style="22"/>
  </cols>
  <sheetData>
    <row r="1" spans="1:17" s="44" customFormat="1" ht="16.8">
      <c r="A1" s="288" t="s">
        <v>149</v>
      </c>
      <c r="B1" s="288"/>
      <c r="C1" s="288"/>
      <c r="D1" s="288"/>
      <c r="E1" s="97"/>
      <c r="F1" s="97"/>
      <c r="G1" s="97"/>
    </row>
    <row r="2" spans="1:17" s="44" customFormat="1" ht="18" customHeight="1">
      <c r="A2" s="288" t="s">
        <v>59</v>
      </c>
      <c r="B2" s="288"/>
      <c r="C2" s="288"/>
      <c r="D2" s="288"/>
      <c r="E2" s="97"/>
      <c r="F2" s="97"/>
      <c r="G2" s="97"/>
    </row>
    <row r="3" spans="1:17" s="44" customFormat="1" ht="34.5" customHeight="1">
      <c r="A3" s="289" t="s">
        <v>223</v>
      </c>
      <c r="B3" s="289"/>
      <c r="C3" s="289"/>
      <c r="D3" s="289"/>
      <c r="E3" s="98"/>
      <c r="F3" s="98"/>
      <c r="G3" s="98"/>
    </row>
    <row r="4" spans="1:17">
      <c r="C4" s="290" t="s">
        <v>8</v>
      </c>
      <c r="D4" s="290"/>
      <c r="F4" s="16"/>
      <c r="G4" s="16"/>
    </row>
    <row r="5" spans="1:17" ht="20.25" customHeight="1">
      <c r="A5" s="291" t="s">
        <v>1</v>
      </c>
      <c r="B5" s="291" t="s">
        <v>13</v>
      </c>
      <c r="C5" s="295" t="s">
        <v>31</v>
      </c>
      <c r="D5" s="296"/>
      <c r="E5" s="95"/>
      <c r="F5" s="96"/>
      <c r="G5" s="297" t="s">
        <v>163</v>
      </c>
      <c r="H5" s="297"/>
      <c r="I5" s="283" t="s">
        <v>106</v>
      </c>
      <c r="J5" s="283"/>
      <c r="K5" s="283"/>
      <c r="L5" s="286" t="s">
        <v>162</v>
      </c>
      <c r="M5" s="283" t="s">
        <v>160</v>
      </c>
      <c r="N5" s="283"/>
      <c r="O5" s="283"/>
    </row>
    <row r="6" spans="1:17" ht="17.25" customHeight="1">
      <c r="A6" s="292"/>
      <c r="B6" s="292"/>
      <c r="C6" s="294" t="s">
        <v>15</v>
      </c>
      <c r="D6" s="294" t="s">
        <v>58</v>
      </c>
      <c r="E6" s="294" t="s">
        <v>20</v>
      </c>
      <c r="F6" s="294"/>
      <c r="G6" s="297"/>
      <c r="H6" s="297"/>
      <c r="I6" s="284" t="s">
        <v>108</v>
      </c>
      <c r="J6" s="284" t="s">
        <v>109</v>
      </c>
      <c r="K6" s="284" t="s">
        <v>107</v>
      </c>
      <c r="L6" s="287"/>
      <c r="M6" s="284" t="s">
        <v>108</v>
      </c>
      <c r="N6" s="284" t="s">
        <v>109</v>
      </c>
      <c r="O6" s="284" t="s">
        <v>107</v>
      </c>
    </row>
    <row r="7" spans="1:17" ht="20.399999999999999" customHeight="1">
      <c r="A7" s="293"/>
      <c r="B7" s="293"/>
      <c r="C7" s="294"/>
      <c r="D7" s="294"/>
      <c r="E7" s="151" t="s">
        <v>112</v>
      </c>
      <c r="F7" s="151" t="s">
        <v>111</v>
      </c>
      <c r="G7" s="151" t="s">
        <v>164</v>
      </c>
      <c r="H7" s="151" t="s">
        <v>165</v>
      </c>
      <c r="I7" s="285"/>
      <c r="J7" s="285"/>
      <c r="K7" s="285"/>
      <c r="L7" s="287"/>
      <c r="M7" s="285"/>
      <c r="N7" s="285"/>
      <c r="O7" s="285"/>
    </row>
    <row r="8" spans="1:17" s="35" customFormat="1" ht="14.25" customHeight="1">
      <c r="A8" s="33">
        <v>1</v>
      </c>
      <c r="B8" s="34">
        <v>2</v>
      </c>
      <c r="C8" s="34">
        <v>3</v>
      </c>
      <c r="D8" s="34" t="s">
        <v>110</v>
      </c>
      <c r="E8" s="34">
        <v>5</v>
      </c>
      <c r="F8" s="34">
        <v>6</v>
      </c>
      <c r="G8" s="34"/>
      <c r="H8" s="120"/>
      <c r="I8" s="40"/>
      <c r="J8" s="40"/>
      <c r="K8" s="40"/>
      <c r="L8" s="134"/>
      <c r="M8" s="40"/>
      <c r="N8" s="40"/>
      <c r="O8" s="40"/>
    </row>
    <row r="9" spans="1:17" ht="38.25" customHeight="1">
      <c r="A9" s="156"/>
      <c r="B9" s="157" t="s">
        <v>120</v>
      </c>
      <c r="C9" s="158">
        <f>C10+C29+C27+C28</f>
        <v>112577000</v>
      </c>
      <c r="D9" s="158">
        <f>D10+D29+D27+D28</f>
        <v>134858928</v>
      </c>
      <c r="E9" s="158">
        <f>E10+E29+E27+E28</f>
        <v>41305038</v>
      </c>
      <c r="F9" s="158">
        <f>F10+F29+F27+F28</f>
        <v>93553890</v>
      </c>
      <c r="G9" s="159">
        <f>(E9/C9)*100</f>
        <v>36.690476740364375</v>
      </c>
      <c r="H9" s="136">
        <f>(E9/L9)*100</f>
        <v>76.438138577850836</v>
      </c>
      <c r="I9" s="160">
        <f>I10+I29+I27+I28</f>
        <v>14614006429</v>
      </c>
      <c r="J9" s="160">
        <f>J10+J29+J27+J28</f>
        <v>12158731761</v>
      </c>
      <c r="K9" s="160">
        <f>K10+K29+K27+K28</f>
        <v>14532297869</v>
      </c>
      <c r="L9" s="133">
        <f>SUM(M9:O9)/1000</f>
        <v>54037210.702</v>
      </c>
      <c r="M9" s="160">
        <f>M10+M29+M27+M28</f>
        <v>10700222712</v>
      </c>
      <c r="N9" s="160">
        <f>N10+N29+N27+N28</f>
        <v>31995405864</v>
      </c>
      <c r="O9" s="160">
        <f>O10+O29+O27+O28</f>
        <v>11341582126</v>
      </c>
      <c r="P9" s="15"/>
      <c r="Q9" s="94"/>
    </row>
    <row r="10" spans="1:17" ht="21.75" customHeight="1">
      <c r="A10" s="161" t="s">
        <v>4</v>
      </c>
      <c r="B10" s="162" t="s">
        <v>61</v>
      </c>
      <c r="C10" s="104">
        <f>C11+C16+C17+C18+C19+C23+C24+C25+C26</f>
        <v>30793000</v>
      </c>
      <c r="D10" s="104">
        <f>D11+D16+D17+D18+D19+D23+D24+D25+D26</f>
        <v>36232000</v>
      </c>
      <c r="E10" s="104">
        <f>E11+E16+E17+E18+E19+E23+E24+E25+E26</f>
        <v>12976495</v>
      </c>
      <c r="F10" s="104">
        <f>F11+F16+F17+F18+F19+F23+F24+F25+F26</f>
        <v>23255505</v>
      </c>
      <c r="G10" s="159">
        <f>(E10/C10)*100</f>
        <v>42.141054785178447</v>
      </c>
      <c r="H10" s="136">
        <f>(E10/L10)*100</f>
        <v>51.078527274128895</v>
      </c>
      <c r="I10" s="129">
        <f>I11+I16+I17+I18+I19+I23+I24+I25+I26</f>
        <v>7264318152</v>
      </c>
      <c r="J10" s="129">
        <f>J11+J16+J17+J18+J19+J23+J24+J25+J26</f>
        <v>5645782251</v>
      </c>
      <c r="K10" s="129">
        <f>K11+K16+K17+K18+K19+K23+K24+K25+K26</f>
        <v>66393990</v>
      </c>
      <c r="L10" s="130">
        <f>SUM(M10:O10)/1000</f>
        <v>25404990.497000001</v>
      </c>
      <c r="M10" s="129">
        <f>M11+M16+M17+M18+M19+M23+M24+M25+M26</f>
        <v>4688314712</v>
      </c>
      <c r="N10" s="129">
        <f>N11+N16+N17+N18+N19+N23+N24+N25+N26</f>
        <v>20678621854</v>
      </c>
      <c r="O10" s="129">
        <f>O11+O16+O17+O18+O19+O23+O24+O25+O26</f>
        <v>38053931</v>
      </c>
    </row>
    <row r="11" spans="1:17" ht="21.75" customHeight="1">
      <c r="A11" s="163">
        <v>1</v>
      </c>
      <c r="B11" s="164" t="s">
        <v>62</v>
      </c>
      <c r="C11" s="104">
        <f>SUM(C12:C15)</f>
        <v>3686000</v>
      </c>
      <c r="D11" s="104">
        <f>SUM(D12:D15)</f>
        <v>6260000</v>
      </c>
      <c r="E11" s="104">
        <f>SUM(E12:E15)</f>
        <v>3294031</v>
      </c>
      <c r="F11" s="104">
        <f>SUM(F12:F15)</f>
        <v>2965969</v>
      </c>
      <c r="G11" s="159">
        <f>(E11/C11)*100</f>
        <v>89.36600651112316</v>
      </c>
      <c r="H11" s="136">
        <f>(E11/L11)*100</f>
        <v>324.86954549265005</v>
      </c>
      <c r="I11" s="129">
        <f>SUM(I12:I15)</f>
        <v>1211889712</v>
      </c>
      <c r="J11" s="129">
        <f>SUM(J12:J15)</f>
        <v>2041858755</v>
      </c>
      <c r="K11" s="129">
        <f>SUM(K12:K15)</f>
        <v>40282796</v>
      </c>
      <c r="L11" s="130">
        <f>SUM(M11:O11)/1000</f>
        <v>1013955</v>
      </c>
      <c r="M11" s="129">
        <f>SUM(M12:M15)</f>
        <v>513584177</v>
      </c>
      <c r="N11" s="129">
        <f>SUM(N12:N15)</f>
        <v>466661304</v>
      </c>
      <c r="O11" s="129">
        <f>SUM(O12:O15)</f>
        <v>33709519</v>
      </c>
    </row>
    <row r="12" spans="1:17" ht="21.75" customHeight="1">
      <c r="A12" s="163" t="s">
        <v>2</v>
      </c>
      <c r="B12" s="164" t="s">
        <v>113</v>
      </c>
      <c r="C12" s="102">
        <v>2032000</v>
      </c>
      <c r="D12" s="102">
        <v>4606000</v>
      </c>
      <c r="E12" s="102">
        <f t="shared" ref="E12:E28" si="0">ROUND((SUM(I12:K12)/1000),0)</f>
        <v>3114404</v>
      </c>
      <c r="F12" s="102">
        <f>D12-E12</f>
        <v>1491596</v>
      </c>
      <c r="G12" s="165">
        <f>(E12/C12)*100</f>
        <v>153.26791338582677</v>
      </c>
      <c r="H12" s="135">
        <f>(E12/L12)*100</f>
        <v>355.30275701032178</v>
      </c>
      <c r="I12" s="19">
        <v>1100254109</v>
      </c>
      <c r="J12" s="19">
        <v>1973866944</v>
      </c>
      <c r="K12" s="19">
        <f>40282796</f>
        <v>40282796</v>
      </c>
      <c r="L12" s="131">
        <f>SUM(M12:O12)/1000</f>
        <v>876549.348</v>
      </c>
      <c r="M12" s="19">
        <v>419154818</v>
      </c>
      <c r="N12" s="19">
        <v>423685011</v>
      </c>
      <c r="O12" s="19">
        <v>33709519</v>
      </c>
    </row>
    <row r="13" spans="1:17" ht="21.75" customHeight="1">
      <c r="A13" s="163" t="s">
        <v>2</v>
      </c>
      <c r="B13" s="164" t="s">
        <v>114</v>
      </c>
      <c r="C13" s="102">
        <v>441000</v>
      </c>
      <c r="D13" s="102">
        <v>441000</v>
      </c>
      <c r="E13" s="102">
        <f t="shared" si="0"/>
        <v>179188</v>
      </c>
      <c r="F13" s="102">
        <f t="shared" ref="F13:F19" si="1">D13-E13</f>
        <v>261812</v>
      </c>
      <c r="G13" s="165">
        <f t="shared" ref="G13:G31" si="2">(E13/C13)*100</f>
        <v>40.632199546485261</v>
      </c>
      <c r="H13" s="135">
        <f t="shared" ref="H13:H31" si="3">(E13/L13)*100</f>
        <v>130.43017091485513</v>
      </c>
      <c r="I13" s="19">
        <v>111196479</v>
      </c>
      <c r="J13" s="19">
        <v>67991811</v>
      </c>
      <c r="K13" s="19"/>
      <c r="L13" s="131">
        <f t="shared" ref="L13:L28" si="4">SUM(M13:O13)/1000</f>
        <v>137382.32399999999</v>
      </c>
      <c r="M13" s="19">
        <v>94406031</v>
      </c>
      <c r="N13" s="19">
        <v>42976293</v>
      </c>
      <c r="O13" s="19"/>
    </row>
    <row r="14" spans="1:17" ht="21.75" customHeight="1">
      <c r="A14" s="163" t="s">
        <v>2</v>
      </c>
      <c r="B14" s="164" t="s">
        <v>115</v>
      </c>
      <c r="C14" s="102">
        <v>25000</v>
      </c>
      <c r="D14" s="102">
        <v>25000</v>
      </c>
      <c r="E14" s="102">
        <f t="shared" si="0"/>
        <v>438</v>
      </c>
      <c r="F14" s="102">
        <f t="shared" si="1"/>
        <v>24562</v>
      </c>
      <c r="G14" s="165">
        <f t="shared" si="2"/>
        <v>1.752</v>
      </c>
      <c r="H14" s="135">
        <f t="shared" si="3"/>
        <v>1877.5720164609056</v>
      </c>
      <c r="I14" s="19">
        <v>438462</v>
      </c>
      <c r="J14" s="19"/>
      <c r="K14" s="19"/>
      <c r="L14" s="131">
        <f t="shared" si="4"/>
        <v>23.327999999999999</v>
      </c>
      <c r="M14" s="19">
        <v>23328</v>
      </c>
      <c r="N14" s="19"/>
      <c r="O14" s="19"/>
    </row>
    <row r="15" spans="1:17" ht="21.75" customHeight="1">
      <c r="A15" s="163" t="s">
        <v>2</v>
      </c>
      <c r="B15" s="164" t="s">
        <v>116</v>
      </c>
      <c r="C15" s="102">
        <v>1188000</v>
      </c>
      <c r="D15" s="102">
        <v>1188000</v>
      </c>
      <c r="E15" s="102">
        <f t="shared" si="0"/>
        <v>1</v>
      </c>
      <c r="F15" s="102">
        <f t="shared" si="1"/>
        <v>1187999</v>
      </c>
      <c r="G15" s="165">
        <f t="shared" si="2"/>
        <v>8.417508417508418E-5</v>
      </c>
      <c r="H15" s="135"/>
      <c r="I15" s="19">
        <v>662</v>
      </c>
      <c r="J15" s="19"/>
      <c r="K15" s="19"/>
      <c r="L15" s="131">
        <f t="shared" si="4"/>
        <v>0</v>
      </c>
      <c r="M15" s="19"/>
      <c r="N15" s="19"/>
      <c r="O15" s="19"/>
    </row>
    <row r="16" spans="1:17" ht="21.75" customHeight="1">
      <c r="A16" s="163">
        <v>2</v>
      </c>
      <c r="B16" s="164" t="s">
        <v>63</v>
      </c>
      <c r="C16" s="102">
        <v>1682000</v>
      </c>
      <c r="D16" s="102">
        <v>1682000</v>
      </c>
      <c r="E16" s="102">
        <f t="shared" si="0"/>
        <v>130915</v>
      </c>
      <c r="F16" s="102">
        <f t="shared" si="1"/>
        <v>1551085</v>
      </c>
      <c r="G16" s="165">
        <f t="shared" si="2"/>
        <v>7.7832936979785963</v>
      </c>
      <c r="H16" s="135">
        <f t="shared" si="3"/>
        <v>64.31128858556346</v>
      </c>
      <c r="I16" s="19">
        <v>60403850</v>
      </c>
      <c r="J16" s="19">
        <v>68462573</v>
      </c>
      <c r="K16" s="19">
        <v>2048194</v>
      </c>
      <c r="L16" s="131">
        <f t="shared" si="4"/>
        <v>203564.573</v>
      </c>
      <c r="M16" s="19">
        <v>43067833</v>
      </c>
      <c r="N16" s="19">
        <v>159746740</v>
      </c>
      <c r="O16" s="19">
        <v>750000</v>
      </c>
    </row>
    <row r="17" spans="1:15" ht="21.75" customHeight="1">
      <c r="A17" s="163">
        <v>3</v>
      </c>
      <c r="B17" s="164" t="s">
        <v>64</v>
      </c>
      <c r="C17" s="102">
        <v>269000</v>
      </c>
      <c r="D17" s="102">
        <v>269000</v>
      </c>
      <c r="E17" s="102">
        <f t="shared" si="0"/>
        <v>79336</v>
      </c>
      <c r="F17" s="102">
        <f t="shared" si="1"/>
        <v>189664</v>
      </c>
      <c r="G17" s="165">
        <f t="shared" si="2"/>
        <v>29.492936802973979</v>
      </c>
      <c r="H17" s="135">
        <f t="shared" si="3"/>
        <v>137.64338582811999</v>
      </c>
      <c r="I17" s="19">
        <v>66306076</v>
      </c>
      <c r="J17" s="19">
        <v>13030333</v>
      </c>
      <c r="K17" s="19"/>
      <c r="L17" s="131">
        <f t="shared" si="4"/>
        <v>57638.803</v>
      </c>
      <c r="M17" s="19">
        <v>9766058</v>
      </c>
      <c r="N17" s="19">
        <v>44872745</v>
      </c>
      <c r="O17" s="19">
        <v>3000000</v>
      </c>
    </row>
    <row r="18" spans="1:15" ht="21.75" customHeight="1">
      <c r="A18" s="163">
        <v>4</v>
      </c>
      <c r="B18" s="164" t="s">
        <v>65</v>
      </c>
      <c r="C18" s="102">
        <v>22000</v>
      </c>
      <c r="D18" s="102">
        <v>22000</v>
      </c>
      <c r="E18" s="102">
        <f t="shared" si="0"/>
        <v>903</v>
      </c>
      <c r="F18" s="102">
        <f t="shared" si="1"/>
        <v>21097</v>
      </c>
      <c r="G18" s="165">
        <f t="shared" si="2"/>
        <v>4.1045454545454545</v>
      </c>
      <c r="H18" s="135">
        <f t="shared" si="3"/>
        <v>11.780228679938622</v>
      </c>
      <c r="I18" s="19">
        <v>902738</v>
      </c>
      <c r="J18" s="19"/>
      <c r="K18" s="19"/>
      <c r="L18" s="131">
        <f t="shared" si="4"/>
        <v>7665.3860000000004</v>
      </c>
      <c r="M18" s="19">
        <v>4254800</v>
      </c>
      <c r="N18" s="19">
        <v>3367174</v>
      </c>
      <c r="O18" s="19">
        <v>43412</v>
      </c>
    </row>
    <row r="19" spans="1:15" ht="21.75" customHeight="1">
      <c r="A19" s="163">
        <v>5</v>
      </c>
      <c r="B19" s="164" t="s">
        <v>66</v>
      </c>
      <c r="C19" s="102">
        <f>SUM(C20:C22)</f>
        <v>357000</v>
      </c>
      <c r="D19" s="102">
        <v>357000</v>
      </c>
      <c r="E19" s="102">
        <f t="shared" si="0"/>
        <v>91286</v>
      </c>
      <c r="F19" s="102">
        <f t="shared" si="1"/>
        <v>265714</v>
      </c>
      <c r="G19" s="165">
        <f t="shared" si="2"/>
        <v>25.570308123249301</v>
      </c>
      <c r="H19" s="135">
        <f t="shared" si="3"/>
        <v>151.79925502195024</v>
      </c>
      <c r="I19" s="19">
        <v>51528000</v>
      </c>
      <c r="J19" s="19">
        <v>38941000</v>
      </c>
      <c r="K19" s="19">
        <v>817000</v>
      </c>
      <c r="L19" s="131">
        <f t="shared" si="4"/>
        <v>60136</v>
      </c>
      <c r="M19" s="19">
        <v>26031000</v>
      </c>
      <c r="N19" s="19">
        <v>33554000</v>
      </c>
      <c r="O19" s="19">
        <v>551000</v>
      </c>
    </row>
    <row r="20" spans="1:15" ht="21.75" customHeight="1">
      <c r="A20" s="163" t="s">
        <v>2</v>
      </c>
      <c r="B20" s="164" t="s">
        <v>117</v>
      </c>
      <c r="C20" s="102">
        <v>66000</v>
      </c>
      <c r="D20" s="102">
        <v>66000</v>
      </c>
      <c r="E20" s="102">
        <f t="shared" si="0"/>
        <v>0</v>
      </c>
      <c r="F20" s="102"/>
      <c r="G20" s="165">
        <f t="shared" si="2"/>
        <v>0</v>
      </c>
      <c r="H20" s="135"/>
      <c r="I20" s="19"/>
      <c r="J20" s="19"/>
      <c r="K20" s="19"/>
      <c r="L20" s="131">
        <f t="shared" si="4"/>
        <v>0</v>
      </c>
      <c r="M20" s="19"/>
      <c r="N20" s="19"/>
      <c r="O20" s="19"/>
    </row>
    <row r="21" spans="1:15" ht="21.75" customHeight="1">
      <c r="A21" s="163" t="s">
        <v>2</v>
      </c>
      <c r="B21" s="164" t="s">
        <v>118</v>
      </c>
      <c r="C21" s="102">
        <v>234000</v>
      </c>
      <c r="D21" s="102">
        <v>234000</v>
      </c>
      <c r="E21" s="102">
        <f t="shared" si="0"/>
        <v>0</v>
      </c>
      <c r="F21" s="102"/>
      <c r="G21" s="165">
        <f t="shared" si="2"/>
        <v>0</v>
      </c>
      <c r="H21" s="135"/>
      <c r="I21" s="19"/>
      <c r="J21" s="19"/>
      <c r="K21" s="19"/>
      <c r="L21" s="131">
        <f t="shared" si="4"/>
        <v>0</v>
      </c>
      <c r="M21" s="19"/>
      <c r="N21" s="19"/>
      <c r="O21" s="19"/>
    </row>
    <row r="22" spans="1:15" ht="21.75" customHeight="1">
      <c r="A22" s="163" t="s">
        <v>2</v>
      </c>
      <c r="B22" s="164" t="s">
        <v>119</v>
      </c>
      <c r="C22" s="102">
        <v>57000</v>
      </c>
      <c r="D22" s="102">
        <v>57000</v>
      </c>
      <c r="E22" s="102">
        <f t="shared" si="0"/>
        <v>0</v>
      </c>
      <c r="F22" s="102"/>
      <c r="G22" s="165">
        <f t="shared" si="2"/>
        <v>0</v>
      </c>
      <c r="H22" s="135"/>
      <c r="I22" s="19"/>
      <c r="J22" s="19"/>
      <c r="K22" s="19"/>
      <c r="L22" s="131">
        <f t="shared" si="4"/>
        <v>0</v>
      </c>
      <c r="M22" s="19"/>
      <c r="N22" s="19"/>
      <c r="O22" s="19"/>
    </row>
    <row r="23" spans="1:15" ht="21.75" customHeight="1">
      <c r="A23" s="149">
        <v>6</v>
      </c>
      <c r="B23" s="166" t="s">
        <v>67</v>
      </c>
      <c r="C23" s="102">
        <v>23500000</v>
      </c>
      <c r="D23" s="102">
        <f>23500000+800000+1000000+200000</f>
        <v>25500000</v>
      </c>
      <c r="E23" s="102">
        <f t="shared" si="0"/>
        <v>8377661</v>
      </c>
      <c r="F23" s="102">
        <f>D23-E23</f>
        <v>17122339</v>
      </c>
      <c r="G23" s="165">
        <f t="shared" si="2"/>
        <v>35.649621276595745</v>
      </c>
      <c r="H23" s="135">
        <f t="shared" si="3"/>
        <v>35.894515964931188</v>
      </c>
      <c r="I23" s="19">
        <v>5661148400</v>
      </c>
      <c r="J23" s="19">
        <v>2716512186</v>
      </c>
      <c r="K23" s="19"/>
      <c r="L23" s="131">
        <f t="shared" si="4"/>
        <v>23339668.399999999</v>
      </c>
      <c r="M23" s="19">
        <v>3700350000</v>
      </c>
      <c r="N23" s="19">
        <v>19639318400</v>
      </c>
      <c r="O23" s="19"/>
    </row>
    <row r="24" spans="1:15" ht="21.75" customHeight="1">
      <c r="A24" s="163">
        <v>7</v>
      </c>
      <c r="B24" s="164" t="s">
        <v>68</v>
      </c>
      <c r="C24" s="102">
        <v>320000</v>
      </c>
      <c r="D24" s="102">
        <v>320000</v>
      </c>
      <c r="E24" s="102">
        <f t="shared" si="0"/>
        <v>0</v>
      </c>
      <c r="F24" s="102">
        <f>D24-E24</f>
        <v>320000</v>
      </c>
      <c r="G24" s="165">
        <f t="shared" si="2"/>
        <v>0</v>
      </c>
      <c r="H24" s="135">
        <f t="shared" si="3"/>
        <v>0</v>
      </c>
      <c r="I24" s="19"/>
      <c r="J24" s="19"/>
      <c r="K24" s="19"/>
      <c r="L24" s="131">
        <f t="shared" si="4"/>
        <v>126750.963</v>
      </c>
      <c r="M24" s="19">
        <v>1177660</v>
      </c>
      <c r="N24" s="19">
        <v>125573303</v>
      </c>
      <c r="O24" s="19"/>
    </row>
    <row r="25" spans="1:15" ht="36" customHeight="1">
      <c r="A25" s="163">
        <v>8</v>
      </c>
      <c r="B25" s="164" t="s">
        <v>152</v>
      </c>
      <c r="C25" s="102">
        <v>957000</v>
      </c>
      <c r="D25" s="102">
        <v>1822000</v>
      </c>
      <c r="E25" s="102">
        <f t="shared" si="0"/>
        <v>1002363</v>
      </c>
      <c r="F25" s="102">
        <f>D25-E25</f>
        <v>819637</v>
      </c>
      <c r="G25" s="165">
        <f t="shared" si="2"/>
        <v>104.74012539184953</v>
      </c>
      <c r="H25" s="135">
        <f t="shared" si="3"/>
        <v>169.6523146026789</v>
      </c>
      <c r="I25" s="19">
        <f>2399856+209739520</f>
        <v>212139376</v>
      </c>
      <c r="J25" s="19">
        <f>2667829+764309575</f>
        <v>766977404</v>
      </c>
      <c r="K25" s="19">
        <v>23246000</v>
      </c>
      <c r="L25" s="131">
        <f t="shared" si="4"/>
        <v>590833.67200000002</v>
      </c>
      <c r="M25" s="19">
        <f>32407704+357675480</f>
        <v>390083184</v>
      </c>
      <c r="N25" s="19">
        <f>29529936+171220552</f>
        <v>200750488</v>
      </c>
      <c r="O25" s="19"/>
    </row>
    <row r="26" spans="1:15" ht="21.75" customHeight="1">
      <c r="A26" s="103">
        <v>9</v>
      </c>
      <c r="B26" s="18" t="s">
        <v>69</v>
      </c>
      <c r="C26" s="102"/>
      <c r="D26" s="102"/>
      <c r="E26" s="102">
        <f t="shared" si="0"/>
        <v>0</v>
      </c>
      <c r="F26" s="102"/>
      <c r="G26" s="165"/>
      <c r="H26" s="135">
        <f t="shared" si="3"/>
        <v>0</v>
      </c>
      <c r="I26" s="19"/>
      <c r="J26" s="19"/>
      <c r="K26" s="19"/>
      <c r="L26" s="131">
        <f t="shared" si="4"/>
        <v>4777.7</v>
      </c>
      <c r="M26" s="19"/>
      <c r="N26" s="19">
        <v>4777700</v>
      </c>
      <c r="O26" s="19"/>
    </row>
    <row r="27" spans="1:15" ht="26.25" customHeight="1">
      <c r="A27" s="45" t="s">
        <v>6</v>
      </c>
      <c r="B27" s="20" t="s">
        <v>70</v>
      </c>
      <c r="C27" s="104"/>
      <c r="D27" s="104">
        <v>3688049</v>
      </c>
      <c r="E27" s="104">
        <f t="shared" si="0"/>
        <v>3688049</v>
      </c>
      <c r="F27" s="104">
        <v>0</v>
      </c>
      <c r="G27" s="165"/>
      <c r="H27" s="135">
        <f t="shared" si="3"/>
        <v>125.22886795301842</v>
      </c>
      <c r="I27" s="19">
        <v>190944569</v>
      </c>
      <c r="J27" s="19">
        <v>838343290</v>
      </c>
      <c r="K27" s="19">
        <v>2658760985</v>
      </c>
      <c r="L27" s="131">
        <f t="shared" si="4"/>
        <v>2945046.9849999999</v>
      </c>
      <c r="M27" s="19"/>
      <c r="N27" s="19">
        <v>838343290</v>
      </c>
      <c r="O27" s="19">
        <v>2106703695</v>
      </c>
    </row>
    <row r="28" spans="1:15" ht="27" customHeight="1">
      <c r="A28" s="45" t="s">
        <v>7</v>
      </c>
      <c r="B28" s="17" t="s">
        <v>71</v>
      </c>
      <c r="C28" s="104"/>
      <c r="D28" s="104">
        <v>504847</v>
      </c>
      <c r="E28" s="104">
        <f t="shared" si="0"/>
        <v>504847</v>
      </c>
      <c r="F28" s="104">
        <v>0</v>
      </c>
      <c r="G28" s="165"/>
      <c r="H28" s="135">
        <f t="shared" si="3"/>
        <v>5237.6975366023707</v>
      </c>
      <c r="I28" s="19">
        <v>304663708</v>
      </c>
      <c r="J28" s="19">
        <v>9638720</v>
      </c>
      <c r="K28" s="19">
        <v>190544394</v>
      </c>
      <c r="L28" s="131">
        <f t="shared" si="4"/>
        <v>9638.7199999999993</v>
      </c>
      <c r="M28" s="19"/>
      <c r="N28" s="19">
        <v>9638720</v>
      </c>
      <c r="O28" s="19"/>
    </row>
    <row r="29" spans="1:15" ht="39.75" customHeight="1">
      <c r="A29" s="45" t="s">
        <v>0</v>
      </c>
      <c r="B29" s="17" t="s">
        <v>72</v>
      </c>
      <c r="C29" s="104">
        <f>SUM(C30:C31)</f>
        <v>81784000</v>
      </c>
      <c r="D29" s="104">
        <f>SUM(D30:D33)</f>
        <v>94434032</v>
      </c>
      <c r="E29" s="104">
        <f>SUM(E30:E33)</f>
        <v>24135647</v>
      </c>
      <c r="F29" s="104">
        <f>SUM(F30:F33)</f>
        <v>70298385</v>
      </c>
      <c r="G29" s="159">
        <f t="shared" si="2"/>
        <v>29.511453340506698</v>
      </c>
      <c r="H29" s="136">
        <f t="shared" si="3"/>
        <v>93.99518867358546</v>
      </c>
      <c r="I29" s="19">
        <f>SUM(I30:I31)</f>
        <v>6854080000</v>
      </c>
      <c r="J29" s="129">
        <f>SUM(J30:J31)</f>
        <v>5664967500</v>
      </c>
      <c r="K29" s="129">
        <f>SUM(K30:K31)</f>
        <v>11616598500</v>
      </c>
      <c r="L29" s="130">
        <f>SUM(M29:O29)/1000</f>
        <v>25677534.5</v>
      </c>
      <c r="M29" s="129">
        <f>SUM(M30:M31)</f>
        <v>6011908000</v>
      </c>
      <c r="N29" s="129">
        <f>SUM(N30:N31)</f>
        <v>10468802000</v>
      </c>
      <c r="O29" s="129">
        <f>SUM(O30:O31)</f>
        <v>9196824500</v>
      </c>
    </row>
    <row r="30" spans="1:15" ht="21.75" customHeight="1">
      <c r="A30" s="103">
        <v>1</v>
      </c>
      <c r="B30" s="18" t="s">
        <v>73</v>
      </c>
      <c r="C30" s="102">
        <v>12732000</v>
      </c>
      <c r="D30" s="102">
        <v>12732000</v>
      </c>
      <c r="E30" s="102">
        <f>ROUND((SUM(I30:K30)/1000),0)</f>
        <v>6365521</v>
      </c>
      <c r="F30" s="102">
        <f>D30-E30</f>
        <v>6366479</v>
      </c>
      <c r="G30" s="165">
        <f t="shared" si="2"/>
        <v>49.996237825950359</v>
      </c>
      <c r="H30" s="135">
        <f t="shared" si="3"/>
        <v>74.04035875404405</v>
      </c>
      <c r="I30" s="19">
        <v>2100000000</v>
      </c>
      <c r="J30" s="19">
        <v>2255624000</v>
      </c>
      <c r="K30" s="19">
        <v>2009896500</v>
      </c>
      <c r="L30" s="131">
        <f>SUM(M30:O30)/1000</f>
        <v>8597366.5</v>
      </c>
      <c r="M30" s="128">
        <v>2100000000</v>
      </c>
      <c r="N30" s="19">
        <v>4487470000</v>
      </c>
      <c r="O30" s="19">
        <v>2009896500</v>
      </c>
    </row>
    <row r="31" spans="1:15" ht="21.75" customHeight="1">
      <c r="A31" s="103">
        <v>2</v>
      </c>
      <c r="B31" s="18" t="s">
        <v>122</v>
      </c>
      <c r="C31" s="102">
        <f>71664000-2612000</f>
        <v>69052000</v>
      </c>
      <c r="D31" s="102">
        <v>69052000</v>
      </c>
      <c r="E31" s="102">
        <f>ROUND((SUM(I31:K31)/1000),0)-2207532-10442500</f>
        <v>5120094</v>
      </c>
      <c r="F31" s="102">
        <f>D31-E31</f>
        <v>63931906</v>
      </c>
      <c r="G31" s="165">
        <f t="shared" si="2"/>
        <v>7.4148380930313378</v>
      </c>
      <c r="H31" s="135">
        <f t="shared" si="3"/>
        <v>29.976836293413506</v>
      </c>
      <c r="I31" s="19">
        <v>4754080000</v>
      </c>
      <c r="J31" s="19">
        <v>3409343500</v>
      </c>
      <c r="K31" s="19">
        <v>9606702000</v>
      </c>
      <c r="L31" s="131">
        <f>SUM(M31:O31)/1000</f>
        <v>17080168</v>
      </c>
      <c r="M31" s="128">
        <v>3911908000</v>
      </c>
      <c r="N31" s="19">
        <v>5981332000</v>
      </c>
      <c r="O31" s="19">
        <v>7186928000</v>
      </c>
    </row>
    <row r="32" spans="1:15" ht="21.75" customHeight="1">
      <c r="A32" s="105">
        <v>3</v>
      </c>
      <c r="B32" s="18" t="s">
        <v>123</v>
      </c>
      <c r="C32" s="167"/>
      <c r="D32" s="168">
        <v>2207532</v>
      </c>
      <c r="E32" s="168">
        <v>2207532</v>
      </c>
      <c r="F32" s="102">
        <f>D32-E32</f>
        <v>0</v>
      </c>
      <c r="G32" s="165"/>
      <c r="H32" s="135"/>
      <c r="I32" s="19"/>
      <c r="J32" s="19"/>
      <c r="K32" s="19"/>
      <c r="L32" s="131">
        <f>SUM(M32:O32)</f>
        <v>0</v>
      </c>
      <c r="M32" s="19"/>
      <c r="N32" s="19"/>
      <c r="O32" s="19"/>
    </row>
    <row r="33" spans="1:15" ht="21.75" customHeight="1">
      <c r="A33" s="106">
        <v>4</v>
      </c>
      <c r="B33" s="107" t="s">
        <v>121</v>
      </c>
      <c r="C33" s="169"/>
      <c r="D33" s="170">
        <v>10442500</v>
      </c>
      <c r="E33" s="170">
        <v>10442500</v>
      </c>
      <c r="F33" s="108">
        <f>D33-E33</f>
        <v>0</v>
      </c>
      <c r="G33" s="171"/>
      <c r="H33" s="137"/>
      <c r="I33" s="25"/>
      <c r="J33" s="25"/>
      <c r="K33" s="25"/>
      <c r="L33" s="132">
        <f>SUM(M33:O33)</f>
        <v>0</v>
      </c>
      <c r="M33" s="25"/>
      <c r="N33" s="25"/>
      <c r="O33" s="25"/>
    </row>
  </sheetData>
  <mergeCells count="20">
    <mergeCell ref="A1:D1"/>
    <mergeCell ref="A2:D2"/>
    <mergeCell ref="A3:D3"/>
    <mergeCell ref="C4:D4"/>
    <mergeCell ref="I6:I7"/>
    <mergeCell ref="I5:K5"/>
    <mergeCell ref="A5:A7"/>
    <mergeCell ref="B5:B7"/>
    <mergeCell ref="C6:C7"/>
    <mergeCell ref="E6:F6"/>
    <mergeCell ref="D6:D7"/>
    <mergeCell ref="C5:D5"/>
    <mergeCell ref="K6:K7"/>
    <mergeCell ref="G5:H6"/>
    <mergeCell ref="M5:O5"/>
    <mergeCell ref="M6:M7"/>
    <mergeCell ref="N6:N7"/>
    <mergeCell ref="O6:O7"/>
    <mergeCell ref="J6:J7"/>
    <mergeCell ref="L5:L7"/>
  </mergeCells>
  <phoneticPr fontId="3" type="noConversion"/>
  <pageMargins left="0.74803149606299213" right="0.27559055118110237" top="0.55118110236220474" bottom="0.19685039370078741" header="0.19685039370078741" footer="0.19685039370078741"/>
  <pageSetup paperSize="9" orientation="portrait" verticalDpi="0" r:id="rId1"/>
  <headerFooter differentFirst="1" alignWithMargins="0">
    <oddHeader>&amp;C&amp;P</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1"/>
  <sheetViews>
    <sheetView topLeftCell="A25" zoomScaleNormal="100" workbookViewId="0">
      <selection activeCell="C9" sqref="C9"/>
    </sheetView>
  </sheetViews>
  <sheetFormatPr defaultColWidth="8.90625" defaultRowHeight="18"/>
  <cols>
    <col min="1" max="1" width="3.81640625" style="175" customWidth="1"/>
    <col min="2" max="2" width="40.08984375" style="175" customWidth="1"/>
    <col min="3" max="3" width="15.36328125" style="175" customWidth="1"/>
    <col min="4" max="4" width="14.36328125" style="175" customWidth="1"/>
    <col min="5" max="5" width="13.36328125" style="175" hidden="1" customWidth="1"/>
    <col min="6" max="6" width="13.81640625" style="175" hidden="1" customWidth="1"/>
    <col min="7" max="7" width="10.453125" style="178" hidden="1" customWidth="1"/>
    <col min="8" max="8" width="11.6328125" style="178" hidden="1" customWidth="1"/>
    <col min="9" max="9" width="15" style="175" hidden="1" customWidth="1"/>
    <col min="10" max="11" width="14.90625" style="175" hidden="1" customWidth="1"/>
    <col min="12" max="12" width="18.6328125" style="175" hidden="1" customWidth="1"/>
    <col min="13" max="13" width="15" style="175" hidden="1" customWidth="1"/>
    <col min="14" max="15" width="14.90625" style="175" hidden="1" customWidth="1"/>
    <col min="16" max="16" width="0.453125" style="175" customWidth="1"/>
    <col min="17" max="16384" width="8.90625" style="175"/>
  </cols>
  <sheetData>
    <row r="1" spans="1:15" s="173" customFormat="1" ht="18.75" customHeight="1">
      <c r="A1" s="298" t="s">
        <v>151</v>
      </c>
      <c r="B1" s="298"/>
      <c r="C1" s="298"/>
      <c r="D1" s="298"/>
      <c r="E1" s="172"/>
      <c r="F1" s="172"/>
      <c r="G1" s="172"/>
    </row>
    <row r="2" spans="1:15" s="173" customFormat="1" ht="18" customHeight="1">
      <c r="A2" s="298" t="s">
        <v>60</v>
      </c>
      <c r="B2" s="298"/>
      <c r="C2" s="298"/>
      <c r="D2" s="298"/>
      <c r="E2" s="172"/>
      <c r="F2" s="172"/>
      <c r="G2" s="172"/>
    </row>
    <row r="3" spans="1:15" s="173" customFormat="1" ht="34.5" customHeight="1">
      <c r="A3" s="299" t="s">
        <v>223</v>
      </c>
      <c r="B3" s="299"/>
      <c r="C3" s="299"/>
      <c r="D3" s="299"/>
      <c r="E3" s="174"/>
      <c r="F3" s="174"/>
      <c r="G3" s="174"/>
    </row>
    <row r="4" spans="1:15">
      <c r="C4" s="302" t="s">
        <v>29</v>
      </c>
      <c r="D4" s="302"/>
      <c r="F4" s="176"/>
      <c r="G4" s="177"/>
    </row>
    <row r="5" spans="1:15" ht="27.75" customHeight="1">
      <c r="A5" s="303" t="s">
        <v>1</v>
      </c>
      <c r="B5" s="303" t="s">
        <v>13</v>
      </c>
      <c r="C5" s="300" t="s">
        <v>31</v>
      </c>
      <c r="D5" s="301"/>
      <c r="E5" s="179"/>
      <c r="F5" s="180"/>
      <c r="G5" s="308" t="s">
        <v>163</v>
      </c>
      <c r="H5" s="308"/>
      <c r="I5" s="306" t="s">
        <v>106</v>
      </c>
      <c r="J5" s="306"/>
      <c r="K5" s="306"/>
      <c r="L5" s="309" t="s">
        <v>166</v>
      </c>
      <c r="M5" s="306" t="s">
        <v>160</v>
      </c>
      <c r="N5" s="306"/>
      <c r="O5" s="306"/>
    </row>
    <row r="6" spans="1:15" ht="15.6">
      <c r="A6" s="304"/>
      <c r="B6" s="304"/>
      <c r="C6" s="306" t="s">
        <v>15</v>
      </c>
      <c r="D6" s="306" t="s">
        <v>58</v>
      </c>
      <c r="E6" s="307" t="s">
        <v>20</v>
      </c>
      <c r="F6" s="306"/>
      <c r="G6" s="308"/>
      <c r="H6" s="308"/>
      <c r="I6" s="306" t="s">
        <v>108</v>
      </c>
      <c r="J6" s="306" t="s">
        <v>109</v>
      </c>
      <c r="K6" s="306" t="s">
        <v>107</v>
      </c>
      <c r="L6" s="309"/>
      <c r="M6" s="306" t="s">
        <v>108</v>
      </c>
      <c r="N6" s="306" t="s">
        <v>109</v>
      </c>
      <c r="O6" s="306" t="s">
        <v>107</v>
      </c>
    </row>
    <row r="7" spans="1:15" ht="15" customHeight="1">
      <c r="A7" s="305"/>
      <c r="B7" s="305"/>
      <c r="C7" s="306"/>
      <c r="D7" s="306"/>
      <c r="E7" s="181" t="s">
        <v>112</v>
      </c>
      <c r="F7" s="182" t="s">
        <v>111</v>
      </c>
      <c r="G7" s="182" t="s">
        <v>164</v>
      </c>
      <c r="H7" s="182" t="s">
        <v>165</v>
      </c>
      <c r="I7" s="306"/>
      <c r="J7" s="306"/>
      <c r="K7" s="306"/>
      <c r="L7" s="309"/>
      <c r="M7" s="306"/>
      <c r="N7" s="306"/>
      <c r="O7" s="306"/>
    </row>
    <row r="8" spans="1:15" s="188" customFormat="1" ht="12" customHeight="1">
      <c r="A8" s="183">
        <v>1</v>
      </c>
      <c r="B8" s="184">
        <v>2</v>
      </c>
      <c r="C8" s="184" t="s">
        <v>110</v>
      </c>
      <c r="D8" s="184">
        <v>5</v>
      </c>
      <c r="E8" s="184">
        <v>6</v>
      </c>
      <c r="F8" s="183">
        <v>7</v>
      </c>
      <c r="G8" s="184"/>
      <c r="H8" s="185"/>
      <c r="I8" s="186"/>
      <c r="J8" s="186"/>
      <c r="K8" s="185"/>
      <c r="L8" s="187"/>
      <c r="M8" s="186"/>
      <c r="N8" s="186"/>
      <c r="O8" s="185"/>
    </row>
    <row r="9" spans="1:15" ht="38.25" customHeight="1">
      <c r="A9" s="46"/>
      <c r="B9" s="47" t="s">
        <v>120</v>
      </c>
      <c r="C9" s="189">
        <f>C10+C27+C28+C29</f>
        <v>105476000</v>
      </c>
      <c r="D9" s="189">
        <f>D10+D27+D28+D29</f>
        <v>125442000</v>
      </c>
      <c r="E9" s="189">
        <f>E10+E27+E28+E29</f>
        <v>36815014</v>
      </c>
      <c r="F9" s="189">
        <f>F10+F27+F28+F29</f>
        <v>75976954</v>
      </c>
      <c r="G9" s="190">
        <f>(E9/C9)*100</f>
        <v>34.903688042777503</v>
      </c>
      <c r="H9" s="191">
        <f>(E9/L9)*100</f>
        <v>128.13895886266616</v>
      </c>
      <c r="I9" s="192">
        <f>I10+I27+I28+I29</f>
        <v>13249043493</v>
      </c>
      <c r="J9" s="192">
        <f>J10+J27+J28+J29</f>
        <v>9069925776</v>
      </c>
      <c r="K9" s="192">
        <f>K10+K27+K28+K29</f>
        <v>14496043353</v>
      </c>
      <c r="L9" s="193">
        <f>SUM(M9:O9)/1000</f>
        <v>28730539.351</v>
      </c>
      <c r="M9" s="192">
        <f>M10+M27+M28+M29</f>
        <v>6517249473</v>
      </c>
      <c r="N9" s="192">
        <f>N10+N27+N28+N29</f>
        <v>10905046319</v>
      </c>
      <c r="O9" s="192">
        <f>O10+O27+O28+O29</f>
        <v>11308243559</v>
      </c>
    </row>
    <row r="10" spans="1:15" ht="21.75" customHeight="1">
      <c r="A10" s="28" t="s">
        <v>4</v>
      </c>
      <c r="B10" s="29" t="s">
        <v>61</v>
      </c>
      <c r="C10" s="194">
        <f>C11+C16+C17+C18+C19+C23+C24+C25+C26</f>
        <v>23692000</v>
      </c>
      <c r="D10" s="194">
        <f>D11+D16+D17+D18+D19+D23+D24+D25+D26</f>
        <v>26815072</v>
      </c>
      <c r="E10" s="194">
        <f>E11+E16+E17+E18+E19+E23+E24+E25+E26</f>
        <v>8486471</v>
      </c>
      <c r="F10" s="194">
        <f>F11+F16+F17+F18+F19+F23+F24+F25+F26</f>
        <v>18328601</v>
      </c>
      <c r="G10" s="190">
        <f t="shared" ref="G10:G31" si="0">(E10/C10)*100</f>
        <v>35.819985649164273</v>
      </c>
      <c r="H10" s="191">
        <f t="shared" ref="H10:H31" si="1">(E10/L10)*100</f>
        <v>896.8044629547087</v>
      </c>
      <c r="I10" s="195">
        <f>I11+I16+I17+I18+I19+I23+I24+I25+I26</f>
        <v>5899355216</v>
      </c>
      <c r="J10" s="195">
        <f>J11+J16+J17+J18+J19+J23+J24+J25+J26</f>
        <v>2556976266</v>
      </c>
      <c r="K10" s="195">
        <f>K11+K16+K17+K18+K19+K23+K24+K25+K26</f>
        <v>30139474</v>
      </c>
      <c r="L10" s="193">
        <f t="shared" ref="L10:L33" si="2">SUM(M10:O10)/1000</f>
        <v>946301.15599999996</v>
      </c>
      <c r="M10" s="195">
        <f>M11+M16+M17+M18+M19+M23+M24+M25+M26</f>
        <v>505341473</v>
      </c>
      <c r="N10" s="195">
        <f>N11+N16+N17+N18+N19+N23+N24+N25+N26</f>
        <v>436244319</v>
      </c>
      <c r="O10" s="195">
        <f>O11+O16+O17+O18+O19+O23+O24+O25+O26</f>
        <v>4715364</v>
      </c>
    </row>
    <row r="11" spans="1:15" ht="21.75" customHeight="1">
      <c r="A11" s="30">
        <v>1</v>
      </c>
      <c r="B11" s="31" t="s">
        <v>62</v>
      </c>
      <c r="C11" s="196">
        <f>SUM(C12:C15)</f>
        <v>247292</v>
      </c>
      <c r="D11" s="196">
        <f>SUM(D12:D15)</f>
        <v>505364</v>
      </c>
      <c r="E11" s="196">
        <f>SUM(E12:E15)</f>
        <v>329359</v>
      </c>
      <c r="F11" s="196">
        <f>SUM(F12:F15)</f>
        <v>176005</v>
      </c>
      <c r="G11" s="190">
        <f t="shared" si="0"/>
        <v>133.1862737169015</v>
      </c>
      <c r="H11" s="191">
        <f t="shared" si="1"/>
        <v>324.83340155946939</v>
      </c>
      <c r="I11" s="197">
        <f>SUM(I12:I15)</f>
        <v>121145108</v>
      </c>
      <c r="J11" s="197">
        <f>SUM(J12:J15)</f>
        <v>204185910</v>
      </c>
      <c r="K11" s="197">
        <f>SUM(K12:K15)</f>
        <v>4028280</v>
      </c>
      <c r="L11" s="193">
        <f t="shared" si="2"/>
        <v>101393.20600000001</v>
      </c>
      <c r="M11" s="197">
        <f>SUM(M12:M15)</f>
        <v>51356101</v>
      </c>
      <c r="N11" s="197">
        <f>SUM(N12:N15)</f>
        <v>46666153</v>
      </c>
      <c r="O11" s="197">
        <f>SUM(O12:O15)</f>
        <v>3370952</v>
      </c>
    </row>
    <row r="12" spans="1:15" ht="21.75" customHeight="1">
      <c r="A12" s="30" t="s">
        <v>2</v>
      </c>
      <c r="B12" s="31" t="s">
        <v>113</v>
      </c>
      <c r="C12" s="196">
        <f>203200</f>
        <v>203200</v>
      </c>
      <c r="D12" s="196">
        <v>461272</v>
      </c>
      <c r="E12" s="196">
        <f>ROUND(SUM(I12:K12)/1000,0)</f>
        <v>311440</v>
      </c>
      <c r="F12" s="196">
        <f>D12-E12</f>
        <v>149832</v>
      </c>
      <c r="G12" s="198">
        <f t="shared" si="0"/>
        <v>153.26771653543307</v>
      </c>
      <c r="H12" s="199">
        <f t="shared" si="1"/>
        <v>355.30215394173138</v>
      </c>
      <c r="I12" s="197">
        <v>110025456</v>
      </c>
      <c r="J12" s="197">
        <v>197386728</v>
      </c>
      <c r="K12" s="197">
        <f>4028280</f>
        <v>4028280</v>
      </c>
      <c r="L12" s="200">
        <f t="shared" si="2"/>
        <v>87654.971000000005</v>
      </c>
      <c r="M12" s="197">
        <v>41915496</v>
      </c>
      <c r="N12" s="197">
        <v>42368523</v>
      </c>
      <c r="O12" s="197">
        <v>3370952</v>
      </c>
    </row>
    <row r="13" spans="1:15" ht="21.75" customHeight="1">
      <c r="A13" s="30" t="s">
        <v>2</v>
      </c>
      <c r="B13" s="31" t="s">
        <v>114</v>
      </c>
      <c r="C13" s="196">
        <v>44092</v>
      </c>
      <c r="D13" s="196">
        <v>44092</v>
      </c>
      <c r="E13" s="196">
        <f t="shared" ref="E13:E28" si="3">ROUND(SUM(I13:K13)/1000,0)</f>
        <v>17919</v>
      </c>
      <c r="F13" s="196">
        <f t="shared" ref="F13:F31" si="4">D13-E13</f>
        <v>26173</v>
      </c>
      <c r="G13" s="198">
        <f t="shared" si="0"/>
        <v>40.640025401433363</v>
      </c>
      <c r="H13" s="199">
        <f t="shared" si="1"/>
        <v>130.43160202165706</v>
      </c>
      <c r="I13" s="197">
        <v>11119652</v>
      </c>
      <c r="J13" s="197">
        <v>6799182</v>
      </c>
      <c r="K13" s="197"/>
      <c r="L13" s="200">
        <f t="shared" si="2"/>
        <v>13738.235000000001</v>
      </c>
      <c r="M13" s="197">
        <v>9440605</v>
      </c>
      <c r="N13" s="197">
        <v>4297630</v>
      </c>
      <c r="O13" s="197"/>
    </row>
    <row r="14" spans="1:15" ht="21.75" customHeight="1">
      <c r="A14" s="30" t="s">
        <v>2</v>
      </c>
      <c r="B14" s="31" t="s">
        <v>115</v>
      </c>
      <c r="C14" s="196">
        <v>0</v>
      </c>
      <c r="D14" s="196"/>
      <c r="E14" s="196">
        <f t="shared" si="3"/>
        <v>0</v>
      </c>
      <c r="F14" s="196">
        <f t="shared" si="4"/>
        <v>0</v>
      </c>
      <c r="G14" s="198"/>
      <c r="H14" s="199"/>
      <c r="I14" s="197"/>
      <c r="J14" s="197"/>
      <c r="K14" s="197"/>
      <c r="L14" s="200">
        <f t="shared" si="2"/>
        <v>0</v>
      </c>
      <c r="M14" s="197"/>
      <c r="N14" s="197"/>
      <c r="O14" s="197"/>
    </row>
    <row r="15" spans="1:15" ht="21.75" customHeight="1">
      <c r="A15" s="30" t="s">
        <v>2</v>
      </c>
      <c r="B15" s="31" t="s">
        <v>116</v>
      </c>
      <c r="C15" s="196">
        <v>0</v>
      </c>
      <c r="D15" s="196"/>
      <c r="E15" s="196">
        <f t="shared" si="3"/>
        <v>0</v>
      </c>
      <c r="F15" s="196">
        <f t="shared" si="4"/>
        <v>0</v>
      </c>
      <c r="G15" s="198"/>
      <c r="H15" s="199"/>
      <c r="I15" s="197"/>
      <c r="J15" s="197"/>
      <c r="K15" s="197"/>
      <c r="L15" s="200">
        <f t="shared" si="2"/>
        <v>0</v>
      </c>
      <c r="M15" s="197"/>
      <c r="N15" s="197"/>
      <c r="O15" s="197"/>
    </row>
    <row r="16" spans="1:15" ht="21.75" customHeight="1">
      <c r="A16" s="30">
        <v>2</v>
      </c>
      <c r="B16" s="31" t="s">
        <v>63</v>
      </c>
      <c r="C16" s="196">
        <f>388000-292</f>
        <v>387708</v>
      </c>
      <c r="D16" s="196">
        <v>387708</v>
      </c>
      <c r="E16" s="196">
        <f t="shared" si="3"/>
        <v>123061</v>
      </c>
      <c r="F16" s="196">
        <f t="shared" si="4"/>
        <v>264647</v>
      </c>
      <c r="G16" s="198">
        <f t="shared" si="0"/>
        <v>31.740639862989674</v>
      </c>
      <c r="H16" s="199">
        <f t="shared" si="1"/>
        <v>62.457185695889983</v>
      </c>
      <c r="I16" s="197">
        <v>56317850</v>
      </c>
      <c r="J16" s="197">
        <v>64694573</v>
      </c>
      <c r="K16" s="197">
        <v>2048194</v>
      </c>
      <c r="L16" s="200">
        <f t="shared" si="2"/>
        <v>197032.573</v>
      </c>
      <c r="M16" s="197">
        <v>39153833</v>
      </c>
      <c r="N16" s="197">
        <v>157128740</v>
      </c>
      <c r="O16" s="197">
        <v>750000</v>
      </c>
    </row>
    <row r="17" spans="1:15" ht="21.75" customHeight="1">
      <c r="A17" s="30">
        <v>3</v>
      </c>
      <c r="B17" s="31" t="s">
        <v>64</v>
      </c>
      <c r="C17" s="196">
        <v>0</v>
      </c>
      <c r="D17" s="196"/>
      <c r="E17" s="196">
        <f t="shared" si="3"/>
        <v>0</v>
      </c>
      <c r="F17" s="196">
        <f t="shared" si="4"/>
        <v>0</v>
      </c>
      <c r="G17" s="198"/>
      <c r="H17" s="199"/>
      <c r="I17" s="197"/>
      <c r="J17" s="197"/>
      <c r="K17" s="197"/>
      <c r="L17" s="200">
        <f t="shared" si="2"/>
        <v>0</v>
      </c>
      <c r="M17" s="197"/>
      <c r="N17" s="197"/>
      <c r="O17" s="197"/>
    </row>
    <row r="18" spans="1:15" ht="21.75" customHeight="1">
      <c r="A18" s="30">
        <v>4</v>
      </c>
      <c r="B18" s="31" t="s">
        <v>65</v>
      </c>
      <c r="C18" s="196">
        <v>22000</v>
      </c>
      <c r="D18" s="196">
        <v>22000</v>
      </c>
      <c r="E18" s="196">
        <f t="shared" si="3"/>
        <v>6677</v>
      </c>
      <c r="F18" s="196">
        <f t="shared" si="4"/>
        <v>15323</v>
      </c>
      <c r="G18" s="198">
        <f t="shared" si="0"/>
        <v>30.349999999999998</v>
      </c>
      <c r="H18" s="199">
        <f t="shared" si="1"/>
        <v>87.105752541128012</v>
      </c>
      <c r="I18" s="197">
        <v>902738</v>
      </c>
      <c r="J18" s="197">
        <v>5774489</v>
      </c>
      <c r="K18" s="197"/>
      <c r="L18" s="200">
        <f t="shared" si="2"/>
        <v>7665.3950000000004</v>
      </c>
      <c r="M18" s="197">
        <v>4254809</v>
      </c>
      <c r="N18" s="197">
        <v>3367174</v>
      </c>
      <c r="O18" s="197">
        <v>43412</v>
      </c>
    </row>
    <row r="19" spans="1:15" ht="21.75" customHeight="1">
      <c r="A19" s="30">
        <v>5</v>
      </c>
      <c r="B19" s="31" t="s">
        <v>66</v>
      </c>
      <c r="C19" s="196">
        <v>78000</v>
      </c>
      <c r="D19" s="196">
        <v>78000</v>
      </c>
      <c r="E19" s="196">
        <f t="shared" si="3"/>
        <v>43591</v>
      </c>
      <c r="F19" s="196">
        <f t="shared" si="4"/>
        <v>34409</v>
      </c>
      <c r="G19" s="198">
        <f t="shared" si="0"/>
        <v>55.885897435897434</v>
      </c>
      <c r="H19" s="199">
        <f t="shared" si="1"/>
        <v>92.479209097080783</v>
      </c>
      <c r="I19" s="197">
        <v>20450000</v>
      </c>
      <c r="J19" s="197">
        <v>22324000</v>
      </c>
      <c r="K19" s="197">
        <v>817000</v>
      </c>
      <c r="L19" s="200">
        <f t="shared" si="2"/>
        <v>47136</v>
      </c>
      <c r="M19" s="197">
        <v>22031000</v>
      </c>
      <c r="N19" s="197">
        <v>24554000</v>
      </c>
      <c r="O19" s="197">
        <v>551000</v>
      </c>
    </row>
    <row r="20" spans="1:15" ht="21.75" customHeight="1">
      <c r="A20" s="30" t="s">
        <v>2</v>
      </c>
      <c r="B20" s="31" t="s">
        <v>117</v>
      </c>
      <c r="C20" s="196">
        <v>21000</v>
      </c>
      <c r="D20" s="196"/>
      <c r="E20" s="196">
        <f t="shared" si="3"/>
        <v>0</v>
      </c>
      <c r="F20" s="196">
        <f t="shared" si="4"/>
        <v>0</v>
      </c>
      <c r="G20" s="198">
        <f t="shared" si="0"/>
        <v>0</v>
      </c>
      <c r="H20" s="199"/>
      <c r="I20" s="197"/>
      <c r="J20" s="197"/>
      <c r="K20" s="197"/>
      <c r="L20" s="200">
        <f t="shared" si="2"/>
        <v>0</v>
      </c>
      <c r="M20" s="197"/>
      <c r="N20" s="197"/>
      <c r="O20" s="197"/>
    </row>
    <row r="21" spans="1:15" ht="21.75" customHeight="1">
      <c r="A21" s="30" t="s">
        <v>2</v>
      </c>
      <c r="B21" s="31" t="s">
        <v>118</v>
      </c>
      <c r="C21" s="196">
        <v>0</v>
      </c>
      <c r="D21" s="196"/>
      <c r="E21" s="196">
        <f t="shared" si="3"/>
        <v>0</v>
      </c>
      <c r="F21" s="196">
        <f t="shared" si="4"/>
        <v>0</v>
      </c>
      <c r="G21" s="198"/>
      <c r="H21" s="199"/>
      <c r="I21" s="197"/>
      <c r="J21" s="197"/>
      <c r="K21" s="197"/>
      <c r="L21" s="200">
        <f t="shared" si="2"/>
        <v>0</v>
      </c>
      <c r="M21" s="197"/>
      <c r="N21" s="197"/>
      <c r="O21" s="197"/>
    </row>
    <row r="22" spans="1:15" ht="21.75" customHeight="1">
      <c r="A22" s="30" t="s">
        <v>2</v>
      </c>
      <c r="B22" s="31" t="s">
        <v>119</v>
      </c>
      <c r="C22" s="196">
        <v>57000</v>
      </c>
      <c r="D22" s="196"/>
      <c r="E22" s="196">
        <f t="shared" si="3"/>
        <v>817</v>
      </c>
      <c r="F22" s="196">
        <f t="shared" si="4"/>
        <v>-817</v>
      </c>
      <c r="G22" s="198">
        <f t="shared" si="0"/>
        <v>1.4333333333333333</v>
      </c>
      <c r="H22" s="199"/>
      <c r="I22" s="197"/>
      <c r="J22" s="197"/>
      <c r="K22" s="197">
        <v>817000</v>
      </c>
      <c r="L22" s="200">
        <f t="shared" si="2"/>
        <v>0</v>
      </c>
      <c r="M22" s="197"/>
      <c r="N22" s="197"/>
      <c r="O22" s="197"/>
    </row>
    <row r="23" spans="1:15" ht="21.75" customHeight="1">
      <c r="A23" s="24">
        <v>6</v>
      </c>
      <c r="B23" s="32" t="s">
        <v>67</v>
      </c>
      <c r="C23" s="196">
        <v>22000000</v>
      </c>
      <c r="D23" s="201">
        <f>22000000+800000+1000000+200000</f>
        <v>24000000</v>
      </c>
      <c r="E23" s="196">
        <f t="shared" si="3"/>
        <v>6984920</v>
      </c>
      <c r="F23" s="196">
        <f t="shared" si="4"/>
        <v>17015080</v>
      </c>
      <c r="G23" s="198">
        <f t="shared" si="0"/>
        <v>31.749636363636363</v>
      </c>
      <c r="H23" s="199"/>
      <c r="I23" s="197">
        <v>5490800000</v>
      </c>
      <c r="J23" s="197">
        <v>1494120000</v>
      </c>
      <c r="K23" s="197"/>
      <c r="L23" s="200">
        <f t="shared" si="2"/>
        <v>0</v>
      </c>
      <c r="M23" s="197"/>
      <c r="N23" s="197"/>
      <c r="O23" s="197"/>
    </row>
    <row r="24" spans="1:15" ht="21.75" customHeight="1">
      <c r="A24" s="30">
        <v>7</v>
      </c>
      <c r="B24" s="31" t="s">
        <v>68</v>
      </c>
      <c r="C24" s="196">
        <v>0</v>
      </c>
      <c r="D24" s="196"/>
      <c r="E24" s="196">
        <f t="shared" si="3"/>
        <v>0</v>
      </c>
      <c r="F24" s="196">
        <f t="shared" si="4"/>
        <v>0</v>
      </c>
      <c r="G24" s="198"/>
      <c r="H24" s="199"/>
      <c r="I24" s="197"/>
      <c r="J24" s="197"/>
      <c r="K24" s="197"/>
      <c r="L24" s="200">
        <f t="shared" si="2"/>
        <v>0</v>
      </c>
      <c r="M24" s="197"/>
      <c r="N24" s="197"/>
      <c r="O24" s="197"/>
    </row>
    <row r="25" spans="1:15" ht="33" customHeight="1">
      <c r="A25" s="30">
        <v>8</v>
      </c>
      <c r="B25" s="31" t="s">
        <v>152</v>
      </c>
      <c r="C25" s="196">
        <v>957000</v>
      </c>
      <c r="D25" s="196">
        <v>1822000</v>
      </c>
      <c r="E25" s="196">
        <f t="shared" si="3"/>
        <v>998863</v>
      </c>
      <c r="F25" s="196">
        <f t="shared" si="4"/>
        <v>823137</v>
      </c>
      <c r="G25" s="198">
        <f t="shared" si="0"/>
        <v>104.37439916405434</v>
      </c>
      <c r="H25" s="199">
        <f t="shared" si="1"/>
        <v>169.7891063673253</v>
      </c>
      <c r="I25" s="197">
        <v>209739520</v>
      </c>
      <c r="J25" s="197">
        <f>1567719+764309575</f>
        <v>765877294</v>
      </c>
      <c r="K25" s="197">
        <v>23246000</v>
      </c>
      <c r="L25" s="200">
        <f t="shared" si="2"/>
        <v>588296.28200000001</v>
      </c>
      <c r="M25" s="197">
        <f>30870250+357675480</f>
        <v>388545730</v>
      </c>
      <c r="N25" s="197">
        <f>28530000+171220552</f>
        <v>199750552</v>
      </c>
      <c r="O25" s="197"/>
    </row>
    <row r="26" spans="1:15" ht="21.75" customHeight="1">
      <c r="A26" s="202">
        <v>9</v>
      </c>
      <c r="B26" s="203" t="s">
        <v>69</v>
      </c>
      <c r="C26" s="204"/>
      <c r="D26" s="204"/>
      <c r="E26" s="196">
        <f t="shared" si="3"/>
        <v>0</v>
      </c>
      <c r="F26" s="196">
        <f t="shared" si="4"/>
        <v>0</v>
      </c>
      <c r="G26" s="198"/>
      <c r="H26" s="199">
        <f t="shared" si="1"/>
        <v>0</v>
      </c>
      <c r="I26" s="197"/>
      <c r="J26" s="197"/>
      <c r="K26" s="197"/>
      <c r="L26" s="200">
        <f t="shared" si="2"/>
        <v>4777.7</v>
      </c>
      <c r="M26" s="197"/>
      <c r="N26" s="197">
        <v>4777700</v>
      </c>
      <c r="O26" s="197"/>
    </row>
    <row r="27" spans="1:15" ht="24" customHeight="1">
      <c r="A27" s="205" t="s">
        <v>6</v>
      </c>
      <c r="B27" s="206" t="s">
        <v>70</v>
      </c>
      <c r="C27" s="204"/>
      <c r="D27" s="204">
        <v>3688049</v>
      </c>
      <c r="E27" s="204">
        <f t="shared" si="3"/>
        <v>3688049</v>
      </c>
      <c r="F27" s="196">
        <v>0</v>
      </c>
      <c r="G27" s="198"/>
      <c r="H27" s="199">
        <f t="shared" si="1"/>
        <v>175.06254005976859</v>
      </c>
      <c r="I27" s="197">
        <v>190944569</v>
      </c>
      <c r="J27" s="197">
        <v>838343290</v>
      </c>
      <c r="K27" s="197">
        <v>2658760985</v>
      </c>
      <c r="L27" s="200">
        <f t="shared" si="2"/>
        <v>2106703.6949999998</v>
      </c>
      <c r="M27" s="197"/>
      <c r="N27" s="197"/>
      <c r="O27" s="207">
        <v>2106703695</v>
      </c>
    </row>
    <row r="28" spans="1:15" ht="24" customHeight="1">
      <c r="A28" s="205" t="s">
        <v>7</v>
      </c>
      <c r="B28" s="208" t="s">
        <v>71</v>
      </c>
      <c r="C28" s="204"/>
      <c r="D28" s="204">
        <v>504847</v>
      </c>
      <c r="E28" s="204">
        <f t="shared" si="3"/>
        <v>504847</v>
      </c>
      <c r="F28" s="196">
        <v>0</v>
      </c>
      <c r="G28" s="198"/>
      <c r="H28" s="199"/>
      <c r="I28" s="197">
        <v>304663708</v>
      </c>
      <c r="J28" s="197">
        <v>9638720</v>
      </c>
      <c r="K28" s="197">
        <v>190544394</v>
      </c>
      <c r="L28" s="200">
        <f t="shared" si="2"/>
        <v>0</v>
      </c>
      <c r="M28" s="197"/>
      <c r="N28" s="197"/>
      <c r="O28" s="207"/>
    </row>
    <row r="29" spans="1:15" ht="24" customHeight="1">
      <c r="A29" s="205" t="s">
        <v>0</v>
      </c>
      <c r="B29" s="208" t="s">
        <v>72</v>
      </c>
      <c r="C29" s="204">
        <f>SUM(C30:C31)</f>
        <v>81784000</v>
      </c>
      <c r="D29" s="204">
        <f>SUM(D30:D33)</f>
        <v>94434032</v>
      </c>
      <c r="E29" s="204">
        <f>SUM(E30:E33)</f>
        <v>24135647</v>
      </c>
      <c r="F29" s="204">
        <f>SUM(F30:F33)</f>
        <v>57648353</v>
      </c>
      <c r="G29" s="190">
        <f t="shared" si="0"/>
        <v>29.511453340506698</v>
      </c>
      <c r="H29" s="191">
        <f t="shared" si="1"/>
        <v>93.99518867358546</v>
      </c>
      <c r="I29" s="197">
        <f>I30+I31</f>
        <v>6854080000</v>
      </c>
      <c r="J29" s="197">
        <f>J30+J31</f>
        <v>5664967500</v>
      </c>
      <c r="K29" s="197">
        <f>SUM(K30:K31)</f>
        <v>11616598500</v>
      </c>
      <c r="L29" s="200">
        <f t="shared" si="2"/>
        <v>25677534.5</v>
      </c>
      <c r="M29" s="197">
        <f>M30+M31</f>
        <v>6011908000</v>
      </c>
      <c r="N29" s="197">
        <f>N30+N31</f>
        <v>10468802000</v>
      </c>
      <c r="O29" s="207">
        <f>SUM(O30:O31)</f>
        <v>9196824500</v>
      </c>
    </row>
    <row r="30" spans="1:15" ht="21.6" customHeight="1">
      <c r="A30" s="202">
        <v>1</v>
      </c>
      <c r="B30" s="203" t="s">
        <v>73</v>
      </c>
      <c r="C30" s="196">
        <v>12732000</v>
      </c>
      <c r="D30" s="196">
        <v>12732000</v>
      </c>
      <c r="E30" s="196">
        <f>ROUND(SUM(I30:K30)/1000,0)</f>
        <v>6365521</v>
      </c>
      <c r="F30" s="196">
        <f t="shared" si="4"/>
        <v>6366479</v>
      </c>
      <c r="G30" s="198">
        <f t="shared" si="0"/>
        <v>49.996237825950359</v>
      </c>
      <c r="H30" s="199">
        <f t="shared" si="1"/>
        <v>74.04035875404405</v>
      </c>
      <c r="I30" s="197">
        <v>2100000000</v>
      </c>
      <c r="J30" s="197">
        <v>2255624000</v>
      </c>
      <c r="K30" s="197">
        <v>2009896500</v>
      </c>
      <c r="L30" s="200">
        <f t="shared" si="2"/>
        <v>8597366.5</v>
      </c>
      <c r="M30" s="197">
        <v>2100000000</v>
      </c>
      <c r="N30" s="197">
        <v>4487470000</v>
      </c>
      <c r="O30" s="207">
        <v>2009896500</v>
      </c>
    </row>
    <row r="31" spans="1:15" ht="21.6" customHeight="1">
      <c r="A31" s="202">
        <v>2</v>
      </c>
      <c r="B31" s="203" t="s">
        <v>161</v>
      </c>
      <c r="C31" s="196">
        <f>71664000-2612000</f>
        <v>69052000</v>
      </c>
      <c r="D31" s="196">
        <f>71664000-2612000</f>
        <v>69052000</v>
      </c>
      <c r="E31" s="196">
        <f>ROUND(SUM(I31:K31)/1000,0)</f>
        <v>17770126</v>
      </c>
      <c r="F31" s="196">
        <f t="shared" si="4"/>
        <v>51281874</v>
      </c>
      <c r="G31" s="198">
        <f t="shared" si="0"/>
        <v>25.734411747668425</v>
      </c>
      <c r="H31" s="199">
        <f t="shared" si="1"/>
        <v>104.03952701167812</v>
      </c>
      <c r="I31" s="197">
        <v>4754080000</v>
      </c>
      <c r="J31" s="197">
        <v>3409343500</v>
      </c>
      <c r="K31" s="197">
        <v>9606702000</v>
      </c>
      <c r="L31" s="200">
        <f t="shared" si="2"/>
        <v>17080168</v>
      </c>
      <c r="M31" s="197">
        <v>3911908000</v>
      </c>
      <c r="N31" s="197">
        <v>5981332000</v>
      </c>
      <c r="O31" s="207">
        <v>7186928000</v>
      </c>
    </row>
    <row r="32" spans="1:15" ht="21.6" customHeight="1">
      <c r="A32" s="202">
        <v>3</v>
      </c>
      <c r="B32" s="203" t="s">
        <v>123</v>
      </c>
      <c r="C32" s="209"/>
      <c r="D32" s="210">
        <v>2207532</v>
      </c>
      <c r="E32" s="209"/>
      <c r="F32" s="209"/>
      <c r="G32" s="198"/>
      <c r="H32" s="199"/>
      <c r="I32" s="197"/>
      <c r="J32" s="197"/>
      <c r="K32" s="197"/>
      <c r="L32" s="200">
        <f t="shared" si="2"/>
        <v>0</v>
      </c>
      <c r="M32" s="197"/>
      <c r="N32" s="197"/>
      <c r="O32" s="197"/>
    </row>
    <row r="33" spans="1:15" ht="21.9" customHeight="1">
      <c r="A33" s="211">
        <v>4</v>
      </c>
      <c r="B33" s="212" t="s">
        <v>121</v>
      </c>
      <c r="C33" s="213"/>
      <c r="D33" s="214">
        <v>10442500</v>
      </c>
      <c r="E33" s="213"/>
      <c r="F33" s="213"/>
      <c r="G33" s="215"/>
      <c r="H33" s="216"/>
      <c r="I33" s="214"/>
      <c r="J33" s="214"/>
      <c r="K33" s="214"/>
      <c r="L33" s="200">
        <f t="shared" si="2"/>
        <v>0</v>
      </c>
      <c r="M33" s="214"/>
      <c r="N33" s="214"/>
      <c r="O33" s="214"/>
    </row>
    <row r="34" spans="1:15" ht="31.8" hidden="1">
      <c r="B34" s="217" t="s">
        <v>32</v>
      </c>
      <c r="C34" s="218">
        <v>12893000</v>
      </c>
      <c r="D34" s="218"/>
      <c r="E34" s="219"/>
      <c r="F34" s="219"/>
    </row>
    <row r="35" spans="1:15" ht="31.8" hidden="1">
      <c r="B35" s="220" t="s">
        <v>33</v>
      </c>
      <c r="C35" s="221">
        <v>33765000</v>
      </c>
      <c r="D35" s="197"/>
      <c r="E35" s="219"/>
      <c r="F35" s="219"/>
    </row>
    <row r="36" spans="1:15" ht="47.4" hidden="1">
      <c r="B36" s="220" t="s">
        <v>34</v>
      </c>
      <c r="C36" s="197">
        <v>4104000</v>
      </c>
      <c r="D36" s="197"/>
      <c r="E36" s="219"/>
      <c r="F36" s="219"/>
    </row>
    <row r="37" spans="1:15" hidden="1">
      <c r="B37" s="220" t="s">
        <v>35</v>
      </c>
      <c r="C37" s="197">
        <v>200000</v>
      </c>
      <c r="D37" s="222"/>
      <c r="E37" s="223"/>
      <c r="F37" s="223"/>
    </row>
    <row r="38" spans="1:15" hidden="1">
      <c r="B38" s="220" t="s">
        <v>153</v>
      </c>
      <c r="C38" s="197">
        <v>20000</v>
      </c>
      <c r="D38" s="222"/>
      <c r="E38" s="223"/>
      <c r="F38" s="223"/>
    </row>
    <row r="39" spans="1:15" hidden="1">
      <c r="B39" s="220" t="s">
        <v>154</v>
      </c>
      <c r="C39" s="197">
        <v>80000</v>
      </c>
      <c r="D39" s="222"/>
      <c r="E39" s="223"/>
      <c r="F39" s="223"/>
    </row>
    <row r="40" spans="1:15" hidden="1">
      <c r="B40" s="220" t="s">
        <v>155</v>
      </c>
      <c r="C40" s="197">
        <v>30000</v>
      </c>
      <c r="D40" s="222"/>
      <c r="E40" s="223"/>
      <c r="F40" s="223"/>
    </row>
    <row r="41" spans="1:15" hidden="1">
      <c r="B41" s="220" t="s">
        <v>156</v>
      </c>
      <c r="C41" s="197">
        <v>70000</v>
      </c>
      <c r="D41" s="222"/>
      <c r="E41" s="223"/>
      <c r="F41" s="223"/>
    </row>
    <row r="42" spans="1:15" ht="31.8" hidden="1">
      <c r="B42" s="220" t="s">
        <v>36</v>
      </c>
      <c r="C42" s="197">
        <v>400000</v>
      </c>
      <c r="D42" s="222"/>
      <c r="E42" s="223"/>
      <c r="F42" s="223"/>
    </row>
    <row r="43" spans="1:15" hidden="1">
      <c r="B43" s="220" t="s">
        <v>37</v>
      </c>
      <c r="C43" s="221">
        <v>162000</v>
      </c>
      <c r="D43" s="222"/>
      <c r="E43" s="223"/>
      <c r="F43" s="223"/>
    </row>
    <row r="44" spans="1:15" hidden="1">
      <c r="B44" s="220" t="s">
        <v>38</v>
      </c>
      <c r="C44" s="221">
        <v>194000</v>
      </c>
      <c r="D44" s="222"/>
      <c r="E44" s="223"/>
      <c r="F44" s="223"/>
    </row>
    <row r="45" spans="1:15" hidden="1">
      <c r="B45" s="220" t="s">
        <v>39</v>
      </c>
      <c r="C45" s="197">
        <v>720000</v>
      </c>
      <c r="D45" s="222"/>
      <c r="E45" s="223"/>
      <c r="F45" s="223"/>
    </row>
    <row r="46" spans="1:15" ht="47.4" hidden="1">
      <c r="B46" s="220" t="s">
        <v>40</v>
      </c>
      <c r="C46" s="197">
        <v>9347000</v>
      </c>
      <c r="D46" s="222"/>
      <c r="E46" s="223"/>
      <c r="F46" s="223"/>
    </row>
    <row r="47" spans="1:15" ht="78.599999999999994" hidden="1">
      <c r="B47" s="220" t="s">
        <v>41</v>
      </c>
      <c r="C47" s="197">
        <v>249000</v>
      </c>
      <c r="D47" s="197"/>
      <c r="E47" s="223"/>
      <c r="F47" s="223"/>
    </row>
    <row r="48" spans="1:15" ht="63" hidden="1">
      <c r="B48" s="220" t="s">
        <v>42</v>
      </c>
      <c r="C48" s="221">
        <v>4635000</v>
      </c>
      <c r="D48" s="222"/>
      <c r="E48" s="223"/>
      <c r="F48" s="223"/>
    </row>
    <row r="49" spans="2:6" hidden="1">
      <c r="B49" s="220" t="s">
        <v>43</v>
      </c>
      <c r="C49" s="197"/>
      <c r="D49" s="222"/>
      <c r="E49" s="223"/>
      <c r="F49" s="223"/>
    </row>
    <row r="50" spans="2:6" ht="31.8" hidden="1">
      <c r="B50" s="212" t="s">
        <v>44</v>
      </c>
      <c r="C50" s="214">
        <v>2383000</v>
      </c>
      <c r="D50" s="224"/>
      <c r="E50" s="223"/>
      <c r="F50" s="223"/>
    </row>
    <row r="51" spans="2:6" hidden="1">
      <c r="B51" s="225"/>
      <c r="C51" s="226">
        <f>SUM(C34:C50)</f>
        <v>69252000</v>
      </c>
      <c r="D51" s="226"/>
      <c r="E51" s="219"/>
      <c r="F51" s="219"/>
    </row>
  </sheetData>
  <mergeCells count="20">
    <mergeCell ref="E6:F6"/>
    <mergeCell ref="M5:O5"/>
    <mergeCell ref="M6:M7"/>
    <mergeCell ref="N6:N7"/>
    <mergeCell ref="O6:O7"/>
    <mergeCell ref="I5:K5"/>
    <mergeCell ref="G5:H6"/>
    <mergeCell ref="L5:L7"/>
    <mergeCell ref="I6:I7"/>
    <mergeCell ref="J6:J7"/>
    <mergeCell ref="K6:K7"/>
    <mergeCell ref="A1:D1"/>
    <mergeCell ref="A2:D2"/>
    <mergeCell ref="A3:D3"/>
    <mergeCell ref="C5:D5"/>
    <mergeCell ref="C4:D4"/>
    <mergeCell ref="A5:A7"/>
    <mergeCell ref="B5:B7"/>
    <mergeCell ref="C6:C7"/>
    <mergeCell ref="D6:D7"/>
  </mergeCells>
  <pageMargins left="0.59055118110236227" right="0.27559055118110237" top="0.62992125984251968" bottom="0.19685039370078741" header="0.19685039370078741" footer="0.19685039370078741"/>
  <pageSetup paperSize="9" orientation="portrait" verticalDpi="0" r:id="rId1"/>
  <rowBreaks count="1" manualBreakCount="1">
    <brk id="33"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4"/>
  <sheetViews>
    <sheetView zoomScale="70" zoomScaleNormal="70" workbookViewId="0">
      <selection activeCell="AB12" sqref="AB12"/>
    </sheetView>
  </sheetViews>
  <sheetFormatPr defaultRowHeight="18"/>
  <cols>
    <col min="1" max="1" width="4.08984375" customWidth="1"/>
    <col min="2" max="2" width="43.1796875" customWidth="1"/>
    <col min="3" max="3" width="13.81640625" customWidth="1"/>
    <col min="4" max="4" width="13.90625" customWidth="1"/>
    <col min="5" max="19" width="13.90625" hidden="1" customWidth="1"/>
    <col min="20" max="21" width="13.90625" customWidth="1"/>
  </cols>
  <sheetData>
    <row r="1" spans="1:18">
      <c r="A1" s="310" t="s">
        <v>148</v>
      </c>
      <c r="B1" s="310"/>
      <c r="C1" s="310"/>
      <c r="D1" s="310"/>
      <c r="E1" s="92"/>
      <c r="F1" s="92"/>
      <c r="G1" s="92"/>
      <c r="H1" s="92"/>
      <c r="I1" s="26"/>
    </row>
    <row r="2" spans="1:18">
      <c r="A2" s="310" t="s">
        <v>74</v>
      </c>
      <c r="B2" s="310"/>
      <c r="C2" s="310"/>
      <c r="D2" s="310"/>
      <c r="E2" s="92"/>
      <c r="F2" s="92"/>
      <c r="G2" s="92"/>
      <c r="H2" s="92"/>
      <c r="I2" s="26"/>
    </row>
    <row r="3" spans="1:18" ht="42" customHeight="1">
      <c r="A3" s="311" t="s">
        <v>223</v>
      </c>
      <c r="B3" s="311"/>
      <c r="C3" s="311"/>
      <c r="D3" s="311"/>
      <c r="E3" s="93"/>
      <c r="F3" s="93"/>
      <c r="G3" s="152">
        <f>D8-E8</f>
        <v>99074789.056000009</v>
      </c>
      <c r="H3" s="93"/>
      <c r="I3" s="27"/>
    </row>
    <row r="4" spans="1:18" ht="27" customHeight="1">
      <c r="C4" s="312" t="s">
        <v>8</v>
      </c>
      <c r="D4" s="312"/>
      <c r="E4" s="3"/>
      <c r="F4" s="3"/>
      <c r="L4" s="320"/>
      <c r="M4" s="320"/>
      <c r="N4" s="320"/>
    </row>
    <row r="5" spans="1:18" s="2" customFormat="1" ht="25.5" customHeight="1">
      <c r="A5" s="313" t="s">
        <v>1</v>
      </c>
      <c r="B5" s="314" t="s">
        <v>16</v>
      </c>
      <c r="C5" s="314" t="s">
        <v>145</v>
      </c>
      <c r="D5" s="314" t="s">
        <v>146</v>
      </c>
      <c r="E5" s="314" t="s">
        <v>20</v>
      </c>
      <c r="F5" s="314"/>
      <c r="G5" s="323" t="s">
        <v>14</v>
      </c>
      <c r="H5" s="318" t="s">
        <v>168</v>
      </c>
      <c r="I5" s="318"/>
      <c r="J5" s="321" t="s">
        <v>158</v>
      </c>
      <c r="K5" s="321" t="s">
        <v>76</v>
      </c>
      <c r="L5" s="315" t="s">
        <v>147</v>
      </c>
      <c r="M5" s="316"/>
      <c r="N5" s="317"/>
      <c r="O5" s="319" t="s">
        <v>167</v>
      </c>
      <c r="P5" s="315" t="s">
        <v>159</v>
      </c>
      <c r="Q5" s="316"/>
      <c r="R5" s="317"/>
    </row>
    <row r="6" spans="1:18" s="2" customFormat="1" ht="40.5" customHeight="1">
      <c r="A6" s="313"/>
      <c r="B6" s="314"/>
      <c r="C6" s="314"/>
      <c r="D6" s="314"/>
      <c r="E6" s="10" t="s">
        <v>104</v>
      </c>
      <c r="F6" s="10" t="s">
        <v>105</v>
      </c>
      <c r="G6" s="324"/>
      <c r="H6" s="127" t="s">
        <v>164</v>
      </c>
      <c r="I6" s="127" t="s">
        <v>165</v>
      </c>
      <c r="J6" s="322"/>
      <c r="K6" s="322"/>
      <c r="L6" s="41" t="s">
        <v>108</v>
      </c>
      <c r="M6" s="41" t="s">
        <v>109</v>
      </c>
      <c r="N6" s="41" t="s">
        <v>107</v>
      </c>
      <c r="O6" s="319"/>
      <c r="P6" s="41" t="s">
        <v>108</v>
      </c>
      <c r="Q6" s="41" t="s">
        <v>109</v>
      </c>
      <c r="R6" s="41" t="s">
        <v>107</v>
      </c>
    </row>
    <row r="7" spans="1:18" s="2" customFormat="1" ht="10.5" customHeight="1">
      <c r="A7" s="78">
        <v>1</v>
      </c>
      <c r="B7" s="79">
        <v>2</v>
      </c>
      <c r="C7" s="79">
        <v>3</v>
      </c>
      <c r="D7" s="79">
        <v>4</v>
      </c>
      <c r="E7" s="79">
        <v>5</v>
      </c>
      <c r="F7" s="79">
        <v>6</v>
      </c>
      <c r="G7" s="79">
        <v>7</v>
      </c>
      <c r="H7" s="79"/>
      <c r="I7" s="10"/>
      <c r="J7" s="115"/>
      <c r="K7" s="115"/>
      <c r="L7" s="41"/>
      <c r="M7" s="41"/>
      <c r="N7" s="41"/>
      <c r="O7" s="121"/>
      <c r="P7" s="41"/>
      <c r="Q7" s="41"/>
      <c r="R7" s="41"/>
    </row>
    <row r="8" spans="1:18" s="2" customFormat="1" ht="21.75" customHeight="1">
      <c r="A8" s="85"/>
      <c r="B8" s="11" t="s">
        <v>75</v>
      </c>
      <c r="C8" s="81">
        <f>C9+C16+C42</f>
        <v>105476000</v>
      </c>
      <c r="D8" s="81">
        <f>D9+D16+D42</f>
        <v>125441999.66600001</v>
      </c>
      <c r="E8" s="81">
        <f>E9+E16+E42</f>
        <v>26367210.609999999</v>
      </c>
      <c r="F8" s="81">
        <f>F9+F16+F42</f>
        <v>99074789.055999994</v>
      </c>
      <c r="G8" s="7"/>
      <c r="H8" s="139">
        <f>(E8/C8)*100</f>
        <v>24.998303509803176</v>
      </c>
      <c r="I8" s="139">
        <f>(E8/O8)*100</f>
        <v>182.40745204622002</v>
      </c>
      <c r="J8" s="119">
        <f>J9+J16+J42</f>
        <v>46200785</v>
      </c>
      <c r="K8" s="119">
        <f>K9+K16+K42</f>
        <v>62317215</v>
      </c>
      <c r="L8" s="119">
        <f>L9+L16+L42</f>
        <v>11274615.294</v>
      </c>
      <c r="M8" s="119">
        <f>M9+M16+M42</f>
        <v>7811646.5969999991</v>
      </c>
      <c r="N8" s="119">
        <f>N9+N16+N42</f>
        <v>7280948.7190000005</v>
      </c>
      <c r="O8" s="122">
        <f>SUM(P8:R8)</f>
        <v>14455117</v>
      </c>
      <c r="P8" s="119">
        <f>P9+P16+P42</f>
        <v>5022227</v>
      </c>
      <c r="Q8" s="119">
        <f>Q9+Q16+Q42</f>
        <v>5681682</v>
      </c>
      <c r="R8" s="119">
        <f>R9+R16+R42</f>
        <v>3751208</v>
      </c>
    </row>
    <row r="9" spans="1:18" s="2" customFormat="1" ht="21.75" customHeight="1">
      <c r="A9" s="85" t="s">
        <v>4</v>
      </c>
      <c r="B9" s="12" t="s">
        <v>77</v>
      </c>
      <c r="C9" s="81">
        <f>SUM(C10:C15)</f>
        <v>34893000</v>
      </c>
      <c r="D9" s="81">
        <f>SUM(D10:D15)</f>
        <v>42726905.516000003</v>
      </c>
      <c r="E9" s="81">
        <f>SUM(L9:N9)</f>
        <v>12408168.515999999</v>
      </c>
      <c r="F9" s="81">
        <f>SUM(F10:F15)</f>
        <v>30318737</v>
      </c>
      <c r="G9" s="7"/>
      <c r="H9" s="139">
        <f>(E9/C9)*100</f>
        <v>35.560623953228436</v>
      </c>
      <c r="I9" s="139">
        <f>(E9/O9)*100</f>
        <v>178.14221947719238</v>
      </c>
      <c r="J9" s="7">
        <v>22000000</v>
      </c>
      <c r="K9" s="8">
        <v>12893000</v>
      </c>
      <c r="L9" s="8">
        <v>7085063</v>
      </c>
      <c r="M9" s="8">
        <v>2375637.5159999998</v>
      </c>
      <c r="N9" s="8">
        <v>2947468</v>
      </c>
      <c r="O9" s="122">
        <f>SUM(P9:R9)</f>
        <v>6965316</v>
      </c>
      <c r="P9" s="8">
        <v>2769650</v>
      </c>
      <c r="Q9" s="8">
        <v>2880686</v>
      </c>
      <c r="R9" s="8">
        <v>1314980</v>
      </c>
    </row>
    <row r="10" spans="1:18" s="14" customFormat="1" ht="21.75" customHeight="1">
      <c r="A10" s="86">
        <v>1</v>
      </c>
      <c r="B10" s="21" t="s">
        <v>124</v>
      </c>
      <c r="C10" s="80">
        <v>22000000</v>
      </c>
      <c r="D10" s="80">
        <v>24000000</v>
      </c>
      <c r="E10" s="80">
        <f>5490800+1492995</f>
        <v>6983795</v>
      </c>
      <c r="F10" s="80">
        <f>D10-E10</f>
        <v>17016205</v>
      </c>
      <c r="G10" s="141">
        <f>(E10/D10)*100</f>
        <v>29.099145833333335</v>
      </c>
      <c r="H10" s="140"/>
      <c r="I10" s="140"/>
      <c r="J10" s="48"/>
      <c r="K10" s="43"/>
      <c r="L10" s="43"/>
      <c r="M10" s="43"/>
      <c r="N10" s="43"/>
      <c r="O10" s="123"/>
      <c r="P10" s="43"/>
      <c r="Q10" s="43"/>
      <c r="R10" s="43"/>
    </row>
    <row r="11" spans="1:18" s="14" customFormat="1" ht="39.75" customHeight="1">
      <c r="A11" s="86">
        <v>2</v>
      </c>
      <c r="B11" s="21" t="s">
        <v>128</v>
      </c>
      <c r="C11" s="80">
        <v>12893000</v>
      </c>
      <c r="D11" s="80">
        <v>12893000</v>
      </c>
      <c r="E11" s="80"/>
      <c r="F11" s="80">
        <f>D11-E11</f>
        <v>12893000</v>
      </c>
      <c r="G11" s="48"/>
      <c r="H11" s="48"/>
      <c r="I11" s="48"/>
      <c r="J11" s="48"/>
      <c r="K11" s="43"/>
      <c r="L11" s="43"/>
      <c r="M11" s="43"/>
      <c r="N11" s="43"/>
      <c r="O11" s="123"/>
      <c r="P11" s="43"/>
      <c r="Q11" s="43"/>
      <c r="R11" s="43"/>
    </row>
    <row r="12" spans="1:18" s="14" customFormat="1" ht="39.75" customHeight="1">
      <c r="A12" s="86">
        <v>3</v>
      </c>
      <c r="B12" s="21" t="s">
        <v>125</v>
      </c>
      <c r="C12" s="80"/>
      <c r="D12" s="80">
        <v>188642.516</v>
      </c>
      <c r="E12" s="80">
        <v>188642.516</v>
      </c>
      <c r="F12" s="80"/>
      <c r="G12" s="141">
        <f>(E12/D12)*100</f>
        <v>100</v>
      </c>
      <c r="H12" s="48"/>
      <c r="I12" s="48"/>
      <c r="J12" s="48"/>
      <c r="K12" s="43"/>
      <c r="L12" s="43"/>
      <c r="M12" s="43"/>
      <c r="N12" s="43"/>
      <c r="O12" s="123"/>
      <c r="P12" s="43"/>
      <c r="Q12" s="43"/>
      <c r="R12" s="43"/>
    </row>
    <row r="13" spans="1:18" s="14" customFormat="1" ht="39.75" customHeight="1">
      <c r="A13" s="86">
        <v>4</v>
      </c>
      <c r="B13" s="21" t="s">
        <v>126</v>
      </c>
      <c r="C13" s="80"/>
      <c r="D13" s="80">
        <v>1912000</v>
      </c>
      <c r="E13" s="80">
        <f>1218000+694000</f>
        <v>1912000</v>
      </c>
      <c r="F13" s="80"/>
      <c r="G13" s="141">
        <f>(E13/D13)*100</f>
        <v>100</v>
      </c>
      <c r="H13" s="48"/>
      <c r="I13" s="48"/>
      <c r="J13" s="48"/>
      <c r="K13" s="43"/>
      <c r="L13" s="43"/>
      <c r="M13" s="43"/>
      <c r="N13" s="43"/>
      <c r="O13" s="123"/>
      <c r="P13" s="43"/>
      <c r="Q13" s="43"/>
      <c r="R13" s="43"/>
    </row>
    <row r="14" spans="1:18" s="14" customFormat="1" ht="63" customHeight="1">
      <c r="A14" s="86">
        <v>5</v>
      </c>
      <c r="B14" s="21" t="s">
        <v>150</v>
      </c>
      <c r="C14" s="80"/>
      <c r="D14" s="150">
        <f>3013000+344000</f>
        <v>3357000</v>
      </c>
      <c r="E14" s="80">
        <v>2947467.9999999991</v>
      </c>
      <c r="F14" s="80">
        <f>D14-E14</f>
        <v>409532.00000000093</v>
      </c>
      <c r="G14" s="141">
        <f>(E14/D14)*100</f>
        <v>87.800655347036013</v>
      </c>
      <c r="H14" s="48"/>
      <c r="I14" s="48">
        <f>3357000-D14</f>
        <v>0</v>
      </c>
      <c r="J14" s="48"/>
      <c r="K14" s="43"/>
      <c r="L14" s="43"/>
      <c r="M14" s="43"/>
      <c r="N14" s="43"/>
      <c r="O14" s="123"/>
      <c r="P14" s="43"/>
      <c r="Q14" s="43"/>
      <c r="R14" s="43"/>
    </row>
    <row r="15" spans="1:18" s="14" customFormat="1" ht="41.25" customHeight="1">
      <c r="A15" s="86">
        <v>6</v>
      </c>
      <c r="B15" s="21" t="s">
        <v>127</v>
      </c>
      <c r="C15" s="80"/>
      <c r="D15" s="80">
        <v>376263</v>
      </c>
      <c r="E15" s="80">
        <f>376263</f>
        <v>376263</v>
      </c>
      <c r="F15" s="80"/>
      <c r="G15" s="141">
        <f>(E15/D15)*100</f>
        <v>100</v>
      </c>
      <c r="H15" s="48"/>
      <c r="I15" s="48"/>
      <c r="J15" s="48"/>
      <c r="K15" s="43"/>
      <c r="L15" s="43"/>
      <c r="M15" s="43"/>
      <c r="N15" s="43"/>
      <c r="O15" s="123"/>
      <c r="P15" s="43"/>
      <c r="Q15" s="43"/>
      <c r="R15" s="43"/>
    </row>
    <row r="16" spans="1:18" s="2" customFormat="1" ht="21.75" customHeight="1">
      <c r="A16" s="85" t="s">
        <v>6</v>
      </c>
      <c r="B16" s="12" t="s">
        <v>21</v>
      </c>
      <c r="C16" s="81">
        <f>C17+C22+C33+C37+C40+C41</f>
        <v>69577000</v>
      </c>
      <c r="D16" s="81">
        <f>D17+D22+D33+D37+D40+D41</f>
        <v>81709094.150000006</v>
      </c>
      <c r="E16" s="81">
        <f>E17+E22+E33+E37+E40+E41</f>
        <v>13959042.093999999</v>
      </c>
      <c r="F16" s="81">
        <f>F17+F22+F33+F37+F40+F41</f>
        <v>67750052.055999994</v>
      </c>
      <c r="G16" s="142">
        <f>(E16/J16)*100</f>
        <v>60.180842450788973</v>
      </c>
      <c r="H16" s="139">
        <f>(E16/C16)*100</f>
        <v>20.062724886097417</v>
      </c>
      <c r="I16" s="139">
        <f>(E16/O16)*100</f>
        <v>186.37400505033443</v>
      </c>
      <c r="J16" s="7">
        <f>J17+J22+J33+J37+J40</f>
        <v>23195159</v>
      </c>
      <c r="K16" s="7">
        <f>K17+K22+K33+K37+K40</f>
        <v>49424215</v>
      </c>
      <c r="L16" s="7">
        <f>L17+L22+L33+L37+L40</f>
        <v>4189552.2940000007</v>
      </c>
      <c r="M16" s="7">
        <f>M17+M22+M33+M37+M40</f>
        <v>5436009.0809999993</v>
      </c>
      <c r="N16" s="7">
        <f>N17+N22+N33+N37+N40</f>
        <v>4333480.7190000005</v>
      </c>
      <c r="O16" s="122">
        <f>SUM(P16:R16)</f>
        <v>7489801</v>
      </c>
      <c r="P16" s="7">
        <f>P17+P22+P33+P37+P40</f>
        <v>2252577</v>
      </c>
      <c r="Q16" s="7">
        <f>Q17+Q22+Q33+Q37+Q40</f>
        <v>2800996</v>
      </c>
      <c r="R16" s="7">
        <f>R17+R22+R33+R37+R40</f>
        <v>2436228</v>
      </c>
    </row>
    <row r="17" spans="1:18" ht="20.25" customHeight="1">
      <c r="A17" s="87">
        <v>1</v>
      </c>
      <c r="B17" s="21" t="s">
        <v>78</v>
      </c>
      <c r="C17" s="80">
        <f>SUM(C18:C21)</f>
        <v>678240</v>
      </c>
      <c r="D17" s="82">
        <f>ROUND(SUM(D18:D21),0)</f>
        <v>8836387</v>
      </c>
      <c r="E17" s="109">
        <f>SUM(L17:N17)</f>
        <v>662430</v>
      </c>
      <c r="F17" s="82">
        <f>D17-E17</f>
        <v>8173957</v>
      </c>
      <c r="G17" s="5"/>
      <c r="H17" s="140">
        <f>(E17/C17)*100</f>
        <v>97.668966737438083</v>
      </c>
      <c r="I17" s="140">
        <f>(E17/O17)*100</f>
        <v>997.004906535023</v>
      </c>
      <c r="J17" s="5">
        <f>ROUND(SUM(J18:J21),0)</f>
        <v>1251544</v>
      </c>
      <c r="K17" s="1">
        <f>SUM(K18:K21)</f>
        <v>594000</v>
      </c>
      <c r="L17" s="1">
        <v>342336</v>
      </c>
      <c r="M17" s="1">
        <f>SUM(M18:M21)</f>
        <v>293452</v>
      </c>
      <c r="N17" s="1">
        <f>SUM(N18:N21)</f>
        <v>26642</v>
      </c>
      <c r="O17" s="124">
        <f>SUM(P17:R17)</f>
        <v>66442</v>
      </c>
      <c r="P17" s="1">
        <v>28750</v>
      </c>
      <c r="Q17" s="1">
        <v>23652</v>
      </c>
      <c r="R17" s="1">
        <v>14040</v>
      </c>
    </row>
    <row r="18" spans="1:18" hidden="1">
      <c r="A18" s="86" t="s">
        <v>2</v>
      </c>
      <c r="B18" s="13" t="s">
        <v>83</v>
      </c>
      <c r="C18" s="82">
        <f>194000+84240</f>
        <v>278240</v>
      </c>
      <c r="D18" s="82">
        <f>5161544+278240</f>
        <v>5439784</v>
      </c>
      <c r="E18" s="82">
        <f t="shared" ref="E18:E40" si="0">SUM(L18:N18)</f>
        <v>327430</v>
      </c>
      <c r="F18" s="82">
        <f t="shared" ref="F18:F42" si="1">D18-E18</f>
        <v>5112354</v>
      </c>
      <c r="G18" s="5"/>
      <c r="H18" s="140">
        <f>(E18/C18)*100</f>
        <v>117.67898217366302</v>
      </c>
      <c r="I18" s="140"/>
      <c r="J18" s="5">
        <f>1128544+33000</f>
        <v>1161544</v>
      </c>
      <c r="K18" s="1">
        <f>194000</f>
        <v>194000</v>
      </c>
      <c r="L18" s="42">
        <v>42336</v>
      </c>
      <c r="M18" s="1">
        <v>258452</v>
      </c>
      <c r="N18" s="1">
        <v>26642</v>
      </c>
      <c r="O18" s="123"/>
      <c r="P18" s="42"/>
      <c r="Q18" s="1"/>
      <c r="R18" s="1"/>
    </row>
    <row r="19" spans="1:18" hidden="1">
      <c r="A19" s="86" t="s">
        <v>2</v>
      </c>
      <c r="B19" s="13" t="s">
        <v>84</v>
      </c>
      <c r="C19" s="82"/>
      <c r="D19" s="82">
        <v>90000</v>
      </c>
      <c r="E19" s="82">
        <f t="shared" si="0"/>
        <v>65000</v>
      </c>
      <c r="F19" s="82">
        <f t="shared" si="1"/>
        <v>25000</v>
      </c>
      <c r="G19" s="5"/>
      <c r="H19" s="140"/>
      <c r="I19" s="140"/>
      <c r="J19" s="5">
        <v>90000</v>
      </c>
      <c r="K19" s="1"/>
      <c r="L19" s="42">
        <v>30000</v>
      </c>
      <c r="M19" s="1">
        <v>35000</v>
      </c>
      <c r="N19" s="1"/>
      <c r="O19" s="123"/>
      <c r="P19" s="42"/>
      <c r="Q19" s="1"/>
      <c r="R19" s="1"/>
    </row>
    <row r="20" spans="1:18" ht="20.25" hidden="1" customHeight="1">
      <c r="A20" s="86" t="s">
        <v>2</v>
      </c>
      <c r="B20" s="13" t="s">
        <v>85</v>
      </c>
      <c r="C20" s="82">
        <v>400000</v>
      </c>
      <c r="D20" s="82">
        <v>400000</v>
      </c>
      <c r="E20" s="82">
        <f t="shared" si="0"/>
        <v>0</v>
      </c>
      <c r="F20" s="82">
        <f t="shared" si="1"/>
        <v>400000</v>
      </c>
      <c r="G20" s="5"/>
      <c r="H20" s="140"/>
      <c r="I20" s="140"/>
      <c r="J20" s="5"/>
      <c r="K20" s="1">
        <v>400000</v>
      </c>
      <c r="L20" s="1"/>
      <c r="M20" s="1"/>
      <c r="N20" s="1"/>
      <c r="O20" s="123"/>
      <c r="P20" s="1"/>
      <c r="Q20" s="1"/>
      <c r="R20" s="1"/>
    </row>
    <row r="21" spans="1:18" hidden="1">
      <c r="A21" s="86" t="s">
        <v>2</v>
      </c>
      <c r="B21" s="13" t="s">
        <v>86</v>
      </c>
      <c r="C21" s="82"/>
      <c r="D21" s="82">
        <v>2906603.4840000002</v>
      </c>
      <c r="E21" s="82">
        <f t="shared" si="0"/>
        <v>0</v>
      </c>
      <c r="F21" s="82">
        <f t="shared" si="1"/>
        <v>2906603.4840000002</v>
      </c>
      <c r="G21" s="5"/>
      <c r="H21" s="140"/>
      <c r="I21" s="140"/>
      <c r="J21" s="5"/>
      <c r="K21" s="1"/>
      <c r="L21" s="1"/>
      <c r="M21" s="1"/>
      <c r="N21" s="1"/>
      <c r="O21" s="123"/>
      <c r="P21" s="1"/>
      <c r="Q21" s="1"/>
      <c r="R21" s="1"/>
    </row>
    <row r="22" spans="1:18">
      <c r="A22" s="87">
        <v>2</v>
      </c>
      <c r="B22" s="21" t="s">
        <v>79</v>
      </c>
      <c r="C22" s="80">
        <f>SUM(C26:C32)+C23</f>
        <v>43594000</v>
      </c>
      <c r="D22" s="82">
        <f>SUM(D24:D32)</f>
        <v>45283394</v>
      </c>
      <c r="E22" s="82">
        <f t="shared" si="0"/>
        <v>2801575.8169999998</v>
      </c>
      <c r="F22" s="82">
        <f t="shared" si="1"/>
        <v>42481818.182999998</v>
      </c>
      <c r="G22" s="5"/>
      <c r="H22" s="140">
        <f>(E22/C22)*100</f>
        <v>6.4265169908703026</v>
      </c>
      <c r="I22" s="140">
        <f t="shared" ref="I22:I40" si="2">(E22/O22)*100</f>
        <v>373.54792484176477</v>
      </c>
      <c r="J22" s="5">
        <f>SUM(J24:J32)</f>
        <v>2065865</v>
      </c>
      <c r="K22" s="1">
        <f>SUM(K26:K32)+K23</f>
        <v>43806000</v>
      </c>
      <c r="L22" s="1">
        <f>SUM(L26:L32)+L23</f>
        <v>880730.21200000006</v>
      </c>
      <c r="M22" s="1">
        <f>SUM(M26:M32)+M23</f>
        <v>641586.60499999998</v>
      </c>
      <c r="N22" s="1">
        <f>SUM(N26:N32)+N23</f>
        <v>1279259</v>
      </c>
      <c r="O22" s="124">
        <f>SUM(P22:R22)</f>
        <v>749991</v>
      </c>
      <c r="P22" s="1">
        <f>SUM(P26:P32)+P23</f>
        <v>204628</v>
      </c>
      <c r="Q22" s="1">
        <f>SUM(Q26:Q32)+Q23</f>
        <v>229802</v>
      </c>
      <c r="R22" s="1">
        <f>SUM(R26:R32)+R23</f>
        <v>315561</v>
      </c>
    </row>
    <row r="23" spans="1:18" ht="21.75" customHeight="1">
      <c r="A23" s="86" t="s">
        <v>2</v>
      </c>
      <c r="B23" s="13" t="s">
        <v>87</v>
      </c>
      <c r="C23" s="82">
        <v>33765000</v>
      </c>
      <c r="D23" s="82">
        <f>D24+D25</f>
        <v>33962978</v>
      </c>
      <c r="E23" s="109">
        <f t="shared" si="0"/>
        <v>80527</v>
      </c>
      <c r="F23" s="82">
        <f t="shared" si="1"/>
        <v>33882451</v>
      </c>
      <c r="G23" s="5"/>
      <c r="H23" s="140">
        <f>(E23/C23)*100</f>
        <v>0.23849252184214423</v>
      </c>
      <c r="I23" s="140">
        <f t="shared" si="2"/>
        <v>745.62037037037032</v>
      </c>
      <c r="J23" s="5">
        <f>J24+J25</f>
        <v>197978</v>
      </c>
      <c r="K23" s="39">
        <f>SUM(K24:K25)</f>
        <v>33765000</v>
      </c>
      <c r="L23" s="43">
        <v>64603</v>
      </c>
      <c r="M23" s="1"/>
      <c r="N23" s="1">
        <v>15924</v>
      </c>
      <c r="O23" s="124">
        <f>SUM(P23:R23)</f>
        <v>10800</v>
      </c>
      <c r="P23" s="43">
        <v>5400</v>
      </c>
      <c r="Q23" s="1">
        <v>5400</v>
      </c>
      <c r="R23" s="1"/>
    </row>
    <row r="24" spans="1:18" s="3" customFormat="1" ht="0.75" hidden="1" customHeight="1">
      <c r="A24" s="88" t="s">
        <v>102</v>
      </c>
      <c r="B24" s="36" t="s">
        <v>101</v>
      </c>
      <c r="C24" s="83"/>
      <c r="D24" s="83">
        <f>33765000+69091-909</f>
        <v>33833182</v>
      </c>
      <c r="E24" s="82">
        <f t="shared" si="0"/>
        <v>0</v>
      </c>
      <c r="F24" s="82">
        <f t="shared" si="1"/>
        <v>33833182</v>
      </c>
      <c r="G24" s="37"/>
      <c r="H24" s="140"/>
      <c r="I24" s="140"/>
      <c r="J24" s="37">
        <f>69091</f>
        <v>69091</v>
      </c>
      <c r="K24" s="9">
        <v>33765000</v>
      </c>
      <c r="L24" s="9"/>
      <c r="M24" s="9"/>
      <c r="N24" s="9"/>
      <c r="O24" s="125"/>
      <c r="P24" s="9"/>
      <c r="Q24" s="9"/>
      <c r="R24" s="9"/>
    </row>
    <row r="25" spans="1:18" s="3" customFormat="1" ht="21.75" hidden="1" customHeight="1">
      <c r="A25" s="88" t="s">
        <v>102</v>
      </c>
      <c r="B25" s="36" t="s">
        <v>103</v>
      </c>
      <c r="C25" s="83"/>
      <c r="D25" s="83">
        <f>128887+909</f>
        <v>129796</v>
      </c>
      <c r="E25" s="82">
        <f t="shared" si="0"/>
        <v>0</v>
      </c>
      <c r="F25" s="82">
        <f t="shared" si="1"/>
        <v>129796</v>
      </c>
      <c r="G25" s="37"/>
      <c r="H25" s="140"/>
      <c r="I25" s="140"/>
      <c r="J25" s="37">
        <v>128887</v>
      </c>
      <c r="K25" s="9"/>
      <c r="L25" s="9"/>
      <c r="M25" s="9"/>
      <c r="N25" s="9"/>
      <c r="O25" s="125"/>
      <c r="P25" s="9"/>
      <c r="Q25" s="9"/>
      <c r="R25" s="9"/>
    </row>
    <row r="26" spans="1:18" ht="0.75" hidden="1" customHeight="1">
      <c r="A26" s="86" t="s">
        <v>2</v>
      </c>
      <c r="B26" s="13" t="s">
        <v>88</v>
      </c>
      <c r="C26" s="82"/>
      <c r="D26" s="82"/>
      <c r="E26" s="82">
        <f t="shared" si="0"/>
        <v>0</v>
      </c>
      <c r="F26" s="82">
        <f t="shared" si="1"/>
        <v>0</v>
      </c>
      <c r="G26" s="5"/>
      <c r="H26" s="140"/>
      <c r="I26" s="140"/>
      <c r="J26" s="5"/>
      <c r="K26" s="1"/>
      <c r="L26" s="1"/>
      <c r="M26" s="1"/>
      <c r="N26" s="1"/>
      <c r="O26" s="126"/>
      <c r="P26" s="1"/>
      <c r="Q26" s="1"/>
      <c r="R26" s="1"/>
    </row>
    <row r="27" spans="1:18" ht="21.75" hidden="1" customHeight="1">
      <c r="A27" s="86" t="s">
        <v>2</v>
      </c>
      <c r="B27" s="21" t="s">
        <v>89</v>
      </c>
      <c r="C27" s="84"/>
      <c r="D27" s="84"/>
      <c r="E27" s="82">
        <f t="shared" si="0"/>
        <v>0</v>
      </c>
      <c r="F27" s="82">
        <f t="shared" si="1"/>
        <v>0</v>
      </c>
      <c r="G27" s="5"/>
      <c r="H27" s="140"/>
      <c r="I27" s="140"/>
      <c r="J27" s="5"/>
      <c r="K27" s="1">
        <v>2612000</v>
      </c>
      <c r="L27" s="1"/>
      <c r="M27" s="1"/>
      <c r="N27" s="1"/>
      <c r="O27" s="126"/>
      <c r="P27" s="1"/>
      <c r="Q27" s="1"/>
      <c r="R27" s="1"/>
    </row>
    <row r="28" spans="1:18" ht="21.75" customHeight="1">
      <c r="A28" s="86" t="s">
        <v>2</v>
      </c>
      <c r="B28" s="13" t="s">
        <v>90</v>
      </c>
      <c r="C28" s="82">
        <f>100000+2383000</f>
        <v>2483000</v>
      </c>
      <c r="D28" s="82">
        <f>174720+2383000</f>
        <v>2557720</v>
      </c>
      <c r="E28" s="109">
        <f t="shared" si="0"/>
        <v>56184.4</v>
      </c>
      <c r="F28" s="82">
        <f t="shared" si="1"/>
        <v>2501535.6</v>
      </c>
      <c r="G28" s="5"/>
      <c r="H28" s="140">
        <f>(E28/C28)*100</f>
        <v>2.262762786951269</v>
      </c>
      <c r="I28" s="140">
        <f t="shared" si="2"/>
        <v>159.38836879432625</v>
      </c>
      <c r="J28" s="5">
        <v>974720</v>
      </c>
      <c r="K28" s="1">
        <v>2383000</v>
      </c>
      <c r="L28" s="43">
        <v>3000</v>
      </c>
      <c r="M28" s="1">
        <v>48284.4</v>
      </c>
      <c r="N28" s="1">
        <v>4900</v>
      </c>
      <c r="O28" s="124">
        <f t="shared" ref="O28:O33" si="3">SUM(P28:R28)</f>
        <v>35250</v>
      </c>
      <c r="P28" s="43">
        <v>19368</v>
      </c>
      <c r="Q28" s="1">
        <v>15882</v>
      </c>
      <c r="R28" s="1"/>
    </row>
    <row r="29" spans="1:18" ht="21.75" customHeight="1">
      <c r="A29" s="86" t="s">
        <v>2</v>
      </c>
      <c r="B29" s="13" t="s">
        <v>91</v>
      </c>
      <c r="C29" s="82"/>
      <c r="D29" s="82">
        <v>760000</v>
      </c>
      <c r="E29" s="109">
        <f>SUM(L29:N29)</f>
        <v>377096.07499999995</v>
      </c>
      <c r="F29" s="82">
        <f t="shared" si="1"/>
        <v>382903.92500000005</v>
      </c>
      <c r="G29" s="5"/>
      <c r="H29" s="140"/>
      <c r="I29" s="140">
        <f t="shared" si="2"/>
        <v>261.83772627222794</v>
      </c>
      <c r="J29" s="5">
        <v>215354</v>
      </c>
      <c r="K29" s="1"/>
      <c r="L29" s="43">
        <v>206821.87</v>
      </c>
      <c r="M29" s="1">
        <v>137274.20499999999</v>
      </c>
      <c r="N29" s="1">
        <v>33000</v>
      </c>
      <c r="O29" s="124">
        <f t="shared" si="3"/>
        <v>144019</v>
      </c>
      <c r="P29" s="43">
        <v>14721</v>
      </c>
      <c r="Q29" s="1">
        <v>47296</v>
      </c>
      <c r="R29" s="1">
        <v>82002</v>
      </c>
    </row>
    <row r="30" spans="1:18" ht="21.75" customHeight="1">
      <c r="A30" s="86" t="s">
        <v>2</v>
      </c>
      <c r="B30" s="13" t="s">
        <v>92</v>
      </c>
      <c r="C30" s="82"/>
      <c r="D30" s="82">
        <v>510000</v>
      </c>
      <c r="E30" s="109">
        <f t="shared" si="0"/>
        <v>252576</v>
      </c>
      <c r="F30" s="82">
        <f t="shared" si="1"/>
        <v>257424</v>
      </c>
      <c r="G30" s="5"/>
      <c r="H30" s="140"/>
      <c r="I30" s="140">
        <f t="shared" si="2"/>
        <v>204.66910304925977</v>
      </c>
      <c r="J30" s="5">
        <v>51916</v>
      </c>
      <c r="K30" s="1"/>
      <c r="L30" s="43">
        <v>113433</v>
      </c>
      <c r="M30" s="1">
        <v>50452</v>
      </c>
      <c r="N30" s="1">
        <v>88691</v>
      </c>
      <c r="O30" s="124">
        <f t="shared" si="3"/>
        <v>123407</v>
      </c>
      <c r="P30" s="43">
        <v>37871</v>
      </c>
      <c r="Q30" s="1">
        <v>48719</v>
      </c>
      <c r="R30" s="1">
        <v>36817</v>
      </c>
    </row>
    <row r="31" spans="1:18" ht="21.75" customHeight="1">
      <c r="A31" s="86" t="s">
        <v>2</v>
      </c>
      <c r="B31" s="13" t="s">
        <v>93</v>
      </c>
      <c r="C31" s="82"/>
      <c r="D31" s="82">
        <v>120000</v>
      </c>
      <c r="E31" s="109">
        <f t="shared" si="0"/>
        <v>58044</v>
      </c>
      <c r="F31" s="82">
        <f t="shared" si="1"/>
        <v>61956</v>
      </c>
      <c r="G31" s="5"/>
      <c r="H31" s="140"/>
      <c r="I31" s="140">
        <f t="shared" si="2"/>
        <v>721.04347826086951</v>
      </c>
      <c r="J31" s="5">
        <v>68602</v>
      </c>
      <c r="K31" s="1"/>
      <c r="L31" s="43">
        <v>7600</v>
      </c>
      <c r="M31" s="1">
        <v>45544</v>
      </c>
      <c r="N31" s="1">
        <v>4900</v>
      </c>
      <c r="O31" s="124">
        <f t="shared" si="3"/>
        <v>8050</v>
      </c>
      <c r="P31" s="43">
        <v>5550</v>
      </c>
      <c r="Q31" s="1"/>
      <c r="R31" s="1">
        <v>2500</v>
      </c>
    </row>
    <row r="32" spans="1:18" ht="21.75" customHeight="1">
      <c r="A32" s="86" t="s">
        <v>2</v>
      </c>
      <c r="B32" s="13" t="s">
        <v>94</v>
      </c>
      <c r="C32" s="82">
        <f>4635000+249000+162000+800000+1500000</f>
        <v>7346000</v>
      </c>
      <c r="D32" s="82">
        <f>557295+5046000+1654957+114444</f>
        <v>7372696</v>
      </c>
      <c r="E32" s="109">
        <f t="shared" si="0"/>
        <v>1977148.3419999999</v>
      </c>
      <c r="F32" s="82">
        <f t="shared" si="1"/>
        <v>5395547.6579999998</v>
      </c>
      <c r="G32" s="5"/>
      <c r="H32" s="140">
        <f>(E32/C32)*100</f>
        <v>26.914624857065068</v>
      </c>
      <c r="I32" s="140">
        <f t="shared" si="2"/>
        <v>461.44920635291095</v>
      </c>
      <c r="J32" s="5">
        <v>557295</v>
      </c>
      <c r="K32" s="1">
        <f>162000+249000+4635000</f>
        <v>5046000</v>
      </c>
      <c r="L32" s="43">
        <v>485272.342</v>
      </c>
      <c r="M32" s="1">
        <v>360032</v>
      </c>
      <c r="N32" s="1">
        <v>1131844</v>
      </c>
      <c r="O32" s="124">
        <f t="shared" si="3"/>
        <v>428465</v>
      </c>
      <c r="P32" s="43">
        <v>121718</v>
      </c>
      <c r="Q32" s="1">
        <v>112505</v>
      </c>
      <c r="R32" s="1">
        <v>194242</v>
      </c>
    </row>
    <row r="33" spans="1:20" ht="20.25" customHeight="1">
      <c r="A33" s="87">
        <v>3</v>
      </c>
      <c r="B33" s="21" t="s">
        <v>80</v>
      </c>
      <c r="C33" s="80">
        <f>(7523208+122200+4104000+200000+720000+17371367+800000)-(4075405+220126+363267+653600+1332795+1000000+288359+1500000)</f>
        <v>21407223</v>
      </c>
      <c r="D33" s="82">
        <f>20836724+1000000+800000</f>
        <v>22636724</v>
      </c>
      <c r="E33" s="109">
        <f t="shared" si="0"/>
        <v>8684929.1079999991</v>
      </c>
      <c r="F33" s="82">
        <f t="shared" si="1"/>
        <v>13951794.892000001</v>
      </c>
      <c r="G33" s="5"/>
      <c r="H33" s="140">
        <f>(E33/C33)*100</f>
        <v>40.570087526065379</v>
      </c>
      <c r="I33" s="140">
        <f t="shared" si="2"/>
        <v>154.76086636855874</v>
      </c>
      <c r="J33" s="5">
        <f>17801367</f>
        <v>17801367</v>
      </c>
      <c r="K33" s="1">
        <f>4104000+200000+720000+215</f>
        <v>5024215</v>
      </c>
      <c r="L33" s="43">
        <v>2491381.9040000001</v>
      </c>
      <c r="M33" s="1">
        <v>3633465.8</v>
      </c>
      <c r="N33" s="1">
        <v>2560081.4040000001</v>
      </c>
      <c r="O33" s="124">
        <f t="shared" si="3"/>
        <v>5611838</v>
      </c>
      <c r="P33" s="43">
        <v>1712034</v>
      </c>
      <c r="Q33" s="1">
        <v>2037852</v>
      </c>
      <c r="R33" s="1">
        <v>1861952</v>
      </c>
    </row>
    <row r="34" spans="1:20" hidden="1">
      <c r="A34" s="86" t="s">
        <v>2</v>
      </c>
      <c r="B34" s="13" t="s">
        <v>95</v>
      </c>
      <c r="C34" s="82"/>
      <c r="D34" s="82">
        <f>'CHI ĐƠN VỊ (5)'!G20+'CHI ĐƠN VỊ (5)'!G46+'CHI ĐƠN VỊ (5)'!G61+'CHI ĐƠN VỊ (5)'!G82</f>
        <v>10695965.548</v>
      </c>
      <c r="E34" s="82">
        <f t="shared" si="0"/>
        <v>0</v>
      </c>
      <c r="F34" s="82">
        <f t="shared" si="1"/>
        <v>10695965.548</v>
      </c>
      <c r="G34" s="5"/>
      <c r="H34" s="140"/>
      <c r="I34" s="140"/>
      <c r="J34" s="5"/>
      <c r="K34" s="1">
        <v>100000</v>
      </c>
      <c r="L34" s="1"/>
      <c r="M34" s="1"/>
      <c r="N34" s="1"/>
      <c r="O34" s="126"/>
      <c r="P34" s="1"/>
      <c r="Q34" s="1"/>
      <c r="R34" s="1"/>
      <c r="T34" s="227"/>
    </row>
    <row r="35" spans="1:20" hidden="1">
      <c r="A35" s="86" t="s">
        <v>2</v>
      </c>
      <c r="B35" s="13" t="s">
        <v>96</v>
      </c>
      <c r="C35" s="82"/>
      <c r="D35" s="82">
        <f>'CHI ĐƠN VỊ (5)'!C10</f>
        <v>4917563.5089999996</v>
      </c>
      <c r="E35" s="82">
        <f t="shared" si="0"/>
        <v>0</v>
      </c>
      <c r="F35" s="82">
        <f t="shared" si="1"/>
        <v>4917563.5089999996</v>
      </c>
      <c r="G35" s="5"/>
      <c r="H35" s="140"/>
      <c r="I35" s="140"/>
      <c r="J35" s="5"/>
      <c r="K35" s="1">
        <v>80000</v>
      </c>
      <c r="L35" s="1"/>
      <c r="M35" s="1"/>
      <c r="N35" s="1"/>
      <c r="O35" s="126"/>
      <c r="P35" s="1"/>
      <c r="Q35" s="1"/>
      <c r="R35" s="1"/>
    </row>
    <row r="36" spans="1:20" hidden="1">
      <c r="A36" s="86" t="s">
        <v>2</v>
      </c>
      <c r="B36" s="13" t="s">
        <v>97</v>
      </c>
      <c r="C36" s="82"/>
      <c r="D36" s="82">
        <f>'CHI ĐƠN VỊ (5)'!C37</f>
        <v>3673250.9410000001</v>
      </c>
      <c r="E36" s="82">
        <f t="shared" si="0"/>
        <v>0</v>
      </c>
      <c r="F36" s="82">
        <f t="shared" si="1"/>
        <v>3673250.9410000001</v>
      </c>
      <c r="G36" s="5"/>
      <c r="H36" s="140"/>
      <c r="I36" s="140"/>
      <c r="J36" s="5"/>
      <c r="K36" s="1">
        <v>20000</v>
      </c>
      <c r="L36" s="1"/>
      <c r="M36" s="1"/>
      <c r="N36" s="1"/>
      <c r="O36" s="126"/>
      <c r="P36" s="1"/>
      <c r="Q36" s="1"/>
      <c r="R36" s="1"/>
    </row>
    <row r="37" spans="1:20">
      <c r="A37" s="87">
        <v>4</v>
      </c>
      <c r="B37" s="21" t="s">
        <v>98</v>
      </c>
      <c r="C37" s="80">
        <f>SUM(C38:C39)</f>
        <v>2711142</v>
      </c>
      <c r="D37" s="80">
        <f>SUM(D38:D39)</f>
        <v>2816035</v>
      </c>
      <c r="E37" s="82">
        <f t="shared" si="0"/>
        <v>1698540.0189999999</v>
      </c>
      <c r="F37" s="82">
        <f t="shared" si="1"/>
        <v>1117494.9810000001</v>
      </c>
      <c r="G37" s="5"/>
      <c r="H37" s="140">
        <f>(E37/C37)*100</f>
        <v>62.650352471393965</v>
      </c>
      <c r="I37" s="140">
        <f t="shared" si="2"/>
        <v>169.24185411367083</v>
      </c>
      <c r="J37" s="5">
        <f>SUM(J38:J39)</f>
        <v>1422783</v>
      </c>
      <c r="K37" s="1"/>
      <c r="L37" s="1">
        <f>L38+L39</f>
        <v>440947.978</v>
      </c>
      <c r="M37" s="1">
        <f>M38+M39</f>
        <v>816317.47600000002</v>
      </c>
      <c r="N37" s="1">
        <f>N38+N39</f>
        <v>441274.565</v>
      </c>
      <c r="O37" s="124">
        <f>SUM(P37:R37)</f>
        <v>1003617</v>
      </c>
      <c r="P37" s="1">
        <f>P38+P39</f>
        <v>277294</v>
      </c>
      <c r="Q37" s="1">
        <f>Q38+Q39</f>
        <v>499690</v>
      </c>
      <c r="R37" s="1">
        <f>R38+R39</f>
        <v>226633</v>
      </c>
    </row>
    <row r="38" spans="1:20" ht="21.75" customHeight="1">
      <c r="A38" s="86" t="s">
        <v>2</v>
      </c>
      <c r="B38" s="13" t="s">
        <v>99</v>
      </c>
      <c r="C38" s="82">
        <f>839390+220126</f>
        <v>1059516</v>
      </c>
      <c r="D38" s="82">
        <f>1059516+18126+78393</f>
        <v>1156035</v>
      </c>
      <c r="E38" s="82">
        <f t="shared" si="0"/>
        <v>637914.40399999998</v>
      </c>
      <c r="F38" s="82">
        <f t="shared" si="1"/>
        <v>518120.59600000002</v>
      </c>
      <c r="G38" s="5"/>
      <c r="H38" s="140">
        <f>(E38/C38)*100</f>
        <v>60.20809539450088</v>
      </c>
      <c r="I38" s="140">
        <f t="shared" si="2"/>
        <v>473.69764233256848</v>
      </c>
      <c r="J38" s="5">
        <v>1059516</v>
      </c>
      <c r="K38" s="1"/>
      <c r="L38" s="43">
        <v>139747.20000000001</v>
      </c>
      <c r="M38" s="1">
        <v>311269</v>
      </c>
      <c r="N38" s="1">
        <v>186898.204</v>
      </c>
      <c r="O38" s="124">
        <f>SUM(P38:R38)</f>
        <v>134667</v>
      </c>
      <c r="P38" s="43">
        <v>25560</v>
      </c>
      <c r="Q38" s="1">
        <v>75303</v>
      </c>
      <c r="R38" s="1">
        <v>33804</v>
      </c>
    </row>
    <row r="39" spans="1:20" ht="21.75" customHeight="1">
      <c r="A39" s="86" t="s">
        <v>2</v>
      </c>
      <c r="B39" s="13" t="s">
        <v>100</v>
      </c>
      <c r="C39" s="82">
        <f>363267+288359+1000000</f>
        <v>1651626</v>
      </c>
      <c r="D39" s="82">
        <v>1660000</v>
      </c>
      <c r="E39" s="82">
        <f t="shared" si="0"/>
        <v>1060625.615</v>
      </c>
      <c r="F39" s="82">
        <f t="shared" si="1"/>
        <v>599374.38500000001</v>
      </c>
      <c r="G39" s="5"/>
      <c r="H39" s="140">
        <f>(E39/C39)*100</f>
        <v>64.217057312006474</v>
      </c>
      <c r="I39" s="140">
        <f t="shared" si="2"/>
        <v>122.05830197364635</v>
      </c>
      <c r="J39" s="5">
        <v>363267</v>
      </c>
      <c r="K39" s="1"/>
      <c r="L39" s="43">
        <v>301200.77799999999</v>
      </c>
      <c r="M39" s="1">
        <v>505048.47600000002</v>
      </c>
      <c r="N39" s="1">
        <v>254376.361</v>
      </c>
      <c r="O39" s="124">
        <f>SUM(P39:R39)</f>
        <v>868950</v>
      </c>
      <c r="P39" s="43">
        <v>251734</v>
      </c>
      <c r="Q39" s="1">
        <v>424387</v>
      </c>
      <c r="R39" s="1">
        <v>192829</v>
      </c>
    </row>
    <row r="40" spans="1:20" ht="21.75" customHeight="1">
      <c r="A40" s="87">
        <v>5</v>
      </c>
      <c r="B40" s="21" t="s">
        <v>81</v>
      </c>
      <c r="C40" s="80">
        <f>653600+1332795-800000</f>
        <v>1186395</v>
      </c>
      <c r="D40" s="80">
        <v>1561865.15</v>
      </c>
      <c r="E40" s="109">
        <f t="shared" si="0"/>
        <v>111567.15</v>
      </c>
      <c r="F40" s="82">
        <f t="shared" si="1"/>
        <v>1450298</v>
      </c>
      <c r="G40" s="5"/>
      <c r="H40" s="140">
        <f>(E40/C40)*100</f>
        <v>9.4038789779120773</v>
      </c>
      <c r="I40" s="140">
        <f t="shared" si="2"/>
        <v>192.64612435895222</v>
      </c>
      <c r="J40" s="5">
        <v>653600</v>
      </c>
      <c r="K40" s="1"/>
      <c r="L40" s="43">
        <v>34156.199999999997</v>
      </c>
      <c r="M40" s="1">
        <v>51187.199999999997</v>
      </c>
      <c r="N40" s="1">
        <v>26223.75</v>
      </c>
      <c r="O40" s="124">
        <f>SUM(P40:R40)</f>
        <v>57913</v>
      </c>
      <c r="P40" s="43">
        <v>29871</v>
      </c>
      <c r="Q40" s="1">
        <v>10000</v>
      </c>
      <c r="R40" s="1">
        <v>18042</v>
      </c>
    </row>
    <row r="41" spans="1:20" ht="21.75" customHeight="1">
      <c r="A41" s="110">
        <v>6</v>
      </c>
      <c r="B41" s="111" t="s">
        <v>157</v>
      </c>
      <c r="C41" s="112"/>
      <c r="D41" s="112">
        <f xml:space="preserve"> 361211+213478</f>
        <v>574689</v>
      </c>
      <c r="E41" s="113"/>
      <c r="F41" s="82">
        <f t="shared" si="1"/>
        <v>574689</v>
      </c>
      <c r="G41" s="114"/>
      <c r="H41" s="140"/>
      <c r="I41" s="140"/>
      <c r="J41" s="5"/>
      <c r="K41" s="1"/>
      <c r="L41" s="43"/>
      <c r="M41" s="1"/>
      <c r="N41" s="1"/>
      <c r="O41" s="126"/>
      <c r="P41" s="43"/>
      <c r="Q41" s="1"/>
      <c r="R41" s="1"/>
    </row>
    <row r="42" spans="1:20" ht="21.75" customHeight="1">
      <c r="A42" s="89" t="s">
        <v>7</v>
      </c>
      <c r="B42" s="90" t="s">
        <v>82</v>
      </c>
      <c r="C42" s="91">
        <v>1006000</v>
      </c>
      <c r="D42" s="91">
        <v>1006000</v>
      </c>
      <c r="E42" s="91"/>
      <c r="F42" s="91">
        <f t="shared" si="1"/>
        <v>1006000</v>
      </c>
      <c r="G42" s="6"/>
      <c r="H42" s="6"/>
      <c r="I42" s="138"/>
      <c r="J42" s="117">
        <v>1005626</v>
      </c>
      <c r="K42" s="118"/>
      <c r="L42" s="118"/>
      <c r="M42" s="118"/>
      <c r="N42" s="118"/>
      <c r="O42" s="126"/>
      <c r="P42" s="118"/>
      <c r="Q42" s="118"/>
      <c r="R42" s="118"/>
    </row>
    <row r="43" spans="1:20">
      <c r="D43" s="4"/>
      <c r="E43" s="4"/>
      <c r="F43" s="4"/>
      <c r="I43" s="38"/>
    </row>
    <row r="44" spans="1:20">
      <c r="D44" s="4"/>
      <c r="I44" s="38"/>
    </row>
  </sheetData>
  <mergeCells count="17">
    <mergeCell ref="L4:N4"/>
    <mergeCell ref="L5:N5"/>
    <mergeCell ref="J5:J6"/>
    <mergeCell ref="K5:K6"/>
    <mergeCell ref="G5:G6"/>
    <mergeCell ref="P5:R5"/>
    <mergeCell ref="H5:I5"/>
    <mergeCell ref="E5:F5"/>
    <mergeCell ref="D5:D6"/>
    <mergeCell ref="C5:C6"/>
    <mergeCell ref="O5:O6"/>
    <mergeCell ref="A1:D1"/>
    <mergeCell ref="A2:D2"/>
    <mergeCell ref="A3:D3"/>
    <mergeCell ref="C4:D4"/>
    <mergeCell ref="A5:A6"/>
    <mergeCell ref="B5:B6"/>
  </mergeCells>
  <phoneticPr fontId="3" type="noConversion"/>
  <pageMargins left="0.55118110236220474" right="0.31496062992125984" top="0.70866141732283472" bottom="0.35433070866141736" header="0.19685039370078741" footer="0.23622047244094491"/>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5"/>
  <sheetViews>
    <sheetView topLeftCell="A76" zoomScale="90" zoomScaleNormal="90" workbookViewId="0">
      <selection activeCell="A2" sqref="A2:T2"/>
    </sheetView>
  </sheetViews>
  <sheetFormatPr defaultColWidth="8.90625" defaultRowHeight="18"/>
  <cols>
    <col min="1" max="1" width="3.453125" style="145" customWidth="1"/>
    <col min="2" max="2" width="28.08984375" style="145" customWidth="1"/>
    <col min="3" max="3" width="12.81640625" style="145" customWidth="1"/>
    <col min="4" max="4" width="11.1796875" style="145" customWidth="1"/>
    <col min="5" max="5" width="11.08984375" style="145" customWidth="1"/>
    <col min="6" max="6" width="8.6328125" style="145" customWidth="1"/>
    <col min="7" max="7" width="12.90625" style="147" customWidth="1"/>
    <col min="8" max="8" width="10.6328125" style="147" customWidth="1"/>
    <col min="9" max="9" width="8.36328125" style="147" customWidth="1"/>
    <col min="10" max="10" width="9.90625" style="147" customWidth="1"/>
    <col min="11" max="12" width="5.453125" style="147" customWidth="1"/>
    <col min="13" max="13" width="9.90625" style="147" customWidth="1"/>
    <col min="14" max="14" width="8.54296875" style="147" customWidth="1"/>
    <col min="15" max="15" width="8.6328125" style="147" customWidth="1"/>
    <col min="16" max="16" width="8.453125" style="147" customWidth="1"/>
    <col min="17" max="17" width="10" style="147" customWidth="1"/>
    <col min="18" max="18" width="9.90625" style="147" customWidth="1"/>
    <col min="19" max="19" width="9.81640625" style="147" customWidth="1"/>
    <col min="20" max="20" width="9.6328125" style="147" customWidth="1"/>
    <col min="21" max="21" width="8.36328125" style="147" customWidth="1"/>
    <col min="22" max="22" width="10.08984375" style="145" customWidth="1"/>
    <col min="23" max="23" width="9.81640625" style="144" customWidth="1"/>
    <col min="24" max="24" width="14.81640625" style="145" customWidth="1"/>
    <col min="25" max="16384" width="8.90625" style="145"/>
  </cols>
  <sheetData>
    <row r="1" spans="1:26">
      <c r="A1" s="327" t="s">
        <v>148</v>
      </c>
      <c r="B1" s="327"/>
      <c r="C1" s="327"/>
      <c r="D1" s="327"/>
      <c r="E1" s="327"/>
      <c r="F1" s="327"/>
      <c r="G1" s="327"/>
      <c r="H1" s="327"/>
      <c r="I1" s="327"/>
      <c r="J1" s="327"/>
      <c r="K1" s="327"/>
      <c r="L1" s="327"/>
      <c r="M1" s="327"/>
      <c r="N1" s="327"/>
      <c r="O1" s="327"/>
      <c r="P1" s="327"/>
      <c r="Q1" s="327"/>
      <c r="R1" s="327"/>
      <c r="S1" s="327"/>
      <c r="T1" s="327"/>
      <c r="U1" s="153"/>
      <c r="V1" s="143"/>
    </row>
    <row r="2" spans="1:26">
      <c r="A2" s="327" t="s">
        <v>169</v>
      </c>
      <c r="B2" s="327"/>
      <c r="C2" s="327"/>
      <c r="D2" s="327"/>
      <c r="E2" s="327"/>
      <c r="F2" s="327"/>
      <c r="G2" s="327"/>
      <c r="H2" s="327"/>
      <c r="I2" s="327"/>
      <c r="J2" s="327"/>
      <c r="K2" s="327"/>
      <c r="L2" s="327"/>
      <c r="M2" s="327"/>
      <c r="N2" s="327"/>
      <c r="O2" s="327"/>
      <c r="P2" s="327"/>
      <c r="Q2" s="327"/>
      <c r="R2" s="327"/>
      <c r="S2" s="327"/>
      <c r="T2" s="327"/>
      <c r="U2" s="153"/>
      <c r="V2" s="143"/>
    </row>
    <row r="3" spans="1:26">
      <c r="A3" s="328" t="s">
        <v>227</v>
      </c>
      <c r="B3" s="329"/>
      <c r="C3" s="329"/>
      <c r="D3" s="329"/>
      <c r="E3" s="329"/>
      <c r="F3" s="329"/>
      <c r="G3" s="329"/>
      <c r="H3" s="329"/>
      <c r="I3" s="329"/>
      <c r="J3" s="329"/>
      <c r="K3" s="329"/>
      <c r="L3" s="329"/>
      <c r="M3" s="329"/>
      <c r="N3" s="329"/>
      <c r="O3" s="329"/>
      <c r="P3" s="329"/>
      <c r="Q3" s="329"/>
      <c r="R3" s="329"/>
      <c r="S3" s="329"/>
      <c r="T3" s="329"/>
      <c r="U3" s="154"/>
      <c r="V3" s="146"/>
    </row>
    <row r="4" spans="1:26">
      <c r="C4" s="144"/>
      <c r="D4" s="147"/>
      <c r="E4" s="144"/>
      <c r="I4" s="148"/>
      <c r="S4" s="155" t="s">
        <v>9</v>
      </c>
    </row>
    <row r="5" spans="1:26" s="229" customFormat="1" ht="22.65" customHeight="1">
      <c r="A5" s="336" t="s">
        <v>1</v>
      </c>
      <c r="B5" s="343" t="s">
        <v>17</v>
      </c>
      <c r="C5" s="330" t="s">
        <v>31</v>
      </c>
      <c r="D5" s="331"/>
      <c r="E5" s="331"/>
      <c r="F5" s="331"/>
      <c r="G5" s="331"/>
      <c r="H5" s="331"/>
      <c r="I5" s="331"/>
      <c r="J5" s="331"/>
      <c r="K5" s="331"/>
      <c r="L5" s="331"/>
      <c r="M5" s="331"/>
      <c r="N5" s="331"/>
      <c r="O5" s="331"/>
      <c r="P5" s="331"/>
      <c r="Q5" s="331"/>
      <c r="R5" s="331"/>
      <c r="S5" s="331"/>
      <c r="T5" s="331"/>
      <c r="U5" s="331"/>
      <c r="V5" s="331"/>
      <c r="W5" s="228"/>
    </row>
    <row r="6" spans="1:26" s="230" customFormat="1" ht="23.25" customHeight="1">
      <c r="A6" s="337"/>
      <c r="B6" s="343"/>
      <c r="C6" s="326" t="s">
        <v>18</v>
      </c>
      <c r="D6" s="339" t="s">
        <v>19</v>
      </c>
      <c r="E6" s="326" t="s">
        <v>20</v>
      </c>
      <c r="F6" s="326"/>
      <c r="G6" s="332" t="s">
        <v>21</v>
      </c>
      <c r="H6" s="333"/>
      <c r="I6" s="333"/>
      <c r="J6" s="333"/>
      <c r="K6" s="333"/>
      <c r="L6" s="333"/>
      <c r="M6" s="333"/>
      <c r="N6" s="333"/>
      <c r="O6" s="333"/>
      <c r="P6" s="333"/>
      <c r="Q6" s="333"/>
      <c r="R6" s="333"/>
      <c r="S6" s="333"/>
      <c r="T6" s="334"/>
      <c r="U6" s="335" t="s">
        <v>170</v>
      </c>
      <c r="V6" s="326" t="s">
        <v>28</v>
      </c>
      <c r="W6" s="344" t="s">
        <v>171</v>
      </c>
    </row>
    <row r="7" spans="1:26" s="230" customFormat="1" ht="21" customHeight="1">
      <c r="A7" s="337"/>
      <c r="B7" s="343"/>
      <c r="C7" s="326"/>
      <c r="D7" s="340"/>
      <c r="E7" s="326" t="s">
        <v>22</v>
      </c>
      <c r="F7" s="326" t="s">
        <v>23</v>
      </c>
      <c r="G7" s="335" t="s">
        <v>24</v>
      </c>
      <c r="H7" s="335" t="s">
        <v>25</v>
      </c>
      <c r="I7" s="335"/>
      <c r="J7" s="335"/>
      <c r="K7" s="335"/>
      <c r="L7" s="335"/>
      <c r="M7" s="335"/>
      <c r="N7" s="335"/>
      <c r="O7" s="335"/>
      <c r="P7" s="335"/>
      <c r="Q7" s="335"/>
      <c r="R7" s="335" t="s">
        <v>172</v>
      </c>
      <c r="S7" s="335" t="s">
        <v>217</v>
      </c>
      <c r="T7" s="335" t="s">
        <v>27</v>
      </c>
      <c r="U7" s="335"/>
      <c r="V7" s="326"/>
      <c r="W7" s="345"/>
    </row>
    <row r="8" spans="1:26" s="230" customFormat="1" ht="113.4" customHeight="1">
      <c r="A8" s="338"/>
      <c r="B8" s="343"/>
      <c r="C8" s="326"/>
      <c r="D8" s="341"/>
      <c r="E8" s="326"/>
      <c r="F8" s="326"/>
      <c r="G8" s="335"/>
      <c r="H8" s="231" t="s">
        <v>26</v>
      </c>
      <c r="I8" s="231" t="s">
        <v>10</v>
      </c>
      <c r="J8" s="232" t="s">
        <v>226</v>
      </c>
      <c r="K8" s="231" t="s">
        <v>5</v>
      </c>
      <c r="L8" s="231" t="s">
        <v>212</v>
      </c>
      <c r="M8" s="231" t="s">
        <v>30</v>
      </c>
      <c r="N8" s="231" t="s">
        <v>173</v>
      </c>
      <c r="O8" s="231" t="s">
        <v>175</v>
      </c>
      <c r="P8" s="231" t="s">
        <v>174</v>
      </c>
      <c r="Q8" s="231" t="s">
        <v>11</v>
      </c>
      <c r="R8" s="335"/>
      <c r="S8" s="335"/>
      <c r="T8" s="335"/>
      <c r="U8" s="335"/>
      <c r="V8" s="326"/>
      <c r="W8" s="346"/>
      <c r="X8" s="233"/>
      <c r="Y8" s="234"/>
      <c r="Z8" s="234"/>
    </row>
    <row r="9" spans="1:26" s="260" customFormat="1" ht="29.4" customHeight="1">
      <c r="A9" s="257"/>
      <c r="B9" s="257" t="s">
        <v>18</v>
      </c>
      <c r="C9" s="258">
        <f>C10+C20+C37+C46+C61+C82+C86+C90+C94+C98+C102+C106+C110+C114+C118+C122+C123+C124+C125+C126+D9</f>
        <v>125441999.99000001</v>
      </c>
      <c r="D9" s="258">
        <f>E9+F9</f>
        <v>42726906</v>
      </c>
      <c r="E9" s="258">
        <v>41823906</v>
      </c>
      <c r="F9" s="258">
        <v>903000</v>
      </c>
      <c r="G9" s="258">
        <f t="shared" ref="G9:W9" si="0">G10+G20+G37+G46+G61+G82+G86+G90+G94+G98+G102+G106+G110+G114+G118+G122+G123+G124+G125+G126</f>
        <v>22636734.998</v>
      </c>
      <c r="H9" s="258">
        <f t="shared" si="0"/>
        <v>33772397</v>
      </c>
      <c r="I9" s="258">
        <f t="shared" si="0"/>
        <v>190581</v>
      </c>
      <c r="J9" s="258">
        <f t="shared" si="0"/>
        <v>8836387</v>
      </c>
      <c r="K9" s="258">
        <f t="shared" si="0"/>
        <v>0</v>
      </c>
      <c r="L9" s="258">
        <f t="shared" si="0"/>
        <v>0</v>
      </c>
      <c r="M9" s="258">
        <f t="shared" si="0"/>
        <v>2557720</v>
      </c>
      <c r="N9" s="258">
        <f t="shared" si="0"/>
        <v>760000</v>
      </c>
      <c r="O9" s="258">
        <f t="shared" si="0"/>
        <v>510000</v>
      </c>
      <c r="P9" s="258">
        <f t="shared" si="0"/>
        <v>120000</v>
      </c>
      <c r="Q9" s="258">
        <f t="shared" si="0"/>
        <v>7372695.8420000002</v>
      </c>
      <c r="R9" s="258">
        <f t="shared" si="0"/>
        <v>1659989</v>
      </c>
      <c r="S9" s="258">
        <f t="shared" si="0"/>
        <v>1156035</v>
      </c>
      <c r="T9" s="258">
        <f t="shared" si="0"/>
        <v>1561865.15</v>
      </c>
      <c r="U9" s="258">
        <f t="shared" si="0"/>
        <v>574689</v>
      </c>
      <c r="V9" s="258">
        <f t="shared" si="0"/>
        <v>1006000</v>
      </c>
      <c r="W9" s="258">
        <f t="shared" si="0"/>
        <v>1129665</v>
      </c>
      <c r="X9" s="259"/>
    </row>
    <row r="10" spans="1:26" s="260" customFormat="1" ht="29.4" customHeight="1">
      <c r="A10" s="261">
        <v>1</v>
      </c>
      <c r="B10" s="262" t="s">
        <v>176</v>
      </c>
      <c r="C10" s="263">
        <f>SUM(G10:U10)+D10</f>
        <v>4917563.5089999996</v>
      </c>
      <c r="D10" s="263">
        <f>SUM(E10:F10)</f>
        <v>0</v>
      </c>
      <c r="E10" s="263"/>
      <c r="F10" s="263"/>
      <c r="G10" s="263">
        <f t="shared" ref="G10:V10" si="1">G11+G14</f>
        <v>4917563.5089999996</v>
      </c>
      <c r="H10" s="263">
        <f t="shared" si="1"/>
        <v>0</v>
      </c>
      <c r="I10" s="263">
        <f t="shared" si="1"/>
        <v>0</v>
      </c>
      <c r="J10" s="263">
        <f t="shared" si="1"/>
        <v>0</v>
      </c>
      <c r="K10" s="263">
        <f t="shared" si="1"/>
        <v>0</v>
      </c>
      <c r="L10" s="263">
        <f t="shared" si="1"/>
        <v>0</v>
      </c>
      <c r="M10" s="263">
        <f t="shared" si="1"/>
        <v>0</v>
      </c>
      <c r="N10" s="263">
        <f t="shared" si="1"/>
        <v>0</v>
      </c>
      <c r="O10" s="263">
        <f>O11+O14</f>
        <v>0</v>
      </c>
      <c r="P10" s="263">
        <f t="shared" si="1"/>
        <v>0</v>
      </c>
      <c r="Q10" s="263">
        <f t="shared" si="1"/>
        <v>0</v>
      </c>
      <c r="R10" s="263">
        <f t="shared" si="1"/>
        <v>0</v>
      </c>
      <c r="S10" s="263">
        <f t="shared" si="1"/>
        <v>0</v>
      </c>
      <c r="T10" s="263">
        <f t="shared" si="1"/>
        <v>0</v>
      </c>
      <c r="U10" s="263">
        <f t="shared" si="1"/>
        <v>0</v>
      </c>
      <c r="V10" s="263">
        <f t="shared" si="1"/>
        <v>0</v>
      </c>
      <c r="W10" s="263">
        <v>22300</v>
      </c>
    </row>
    <row r="11" spans="1:26" s="267" customFormat="1" ht="29.4" customHeight="1">
      <c r="A11" s="264" t="s">
        <v>177</v>
      </c>
      <c r="B11" s="265" t="s">
        <v>178</v>
      </c>
      <c r="C11" s="266">
        <f t="shared" ref="C11:C19" si="2">SUM(G11:U11)</f>
        <v>1499176.5090000001</v>
      </c>
      <c r="D11" s="266"/>
      <c r="E11" s="266"/>
      <c r="F11" s="266"/>
      <c r="G11" s="266">
        <f>SUM(G12:G13)</f>
        <v>1499176.5090000001</v>
      </c>
      <c r="H11" s="266">
        <f t="shared" ref="H11:V11" si="3">H12+H13</f>
        <v>0</v>
      </c>
      <c r="I11" s="266">
        <f t="shared" si="3"/>
        <v>0</v>
      </c>
      <c r="J11" s="266">
        <f t="shared" si="3"/>
        <v>0</v>
      </c>
      <c r="K11" s="266">
        <f t="shared" si="3"/>
        <v>0</v>
      </c>
      <c r="L11" s="266">
        <f t="shared" si="3"/>
        <v>0</v>
      </c>
      <c r="M11" s="266">
        <f t="shared" si="3"/>
        <v>0</v>
      </c>
      <c r="N11" s="266">
        <f t="shared" si="3"/>
        <v>0</v>
      </c>
      <c r="O11" s="266">
        <f>O12+O13</f>
        <v>0</v>
      </c>
      <c r="P11" s="266">
        <f t="shared" si="3"/>
        <v>0</v>
      </c>
      <c r="Q11" s="266">
        <f t="shared" si="3"/>
        <v>0</v>
      </c>
      <c r="R11" s="266">
        <f t="shared" si="3"/>
        <v>0</v>
      </c>
      <c r="S11" s="266">
        <f t="shared" si="3"/>
        <v>0</v>
      </c>
      <c r="T11" s="266">
        <f t="shared" si="3"/>
        <v>0</v>
      </c>
      <c r="U11" s="266">
        <f t="shared" si="3"/>
        <v>0</v>
      </c>
      <c r="V11" s="266">
        <f t="shared" si="3"/>
        <v>0</v>
      </c>
      <c r="W11" s="266">
        <v>0</v>
      </c>
    </row>
    <row r="12" spans="1:26" s="268" customFormat="1" ht="29.4" customHeight="1">
      <c r="A12" s="236" t="s">
        <v>179</v>
      </c>
      <c r="B12" s="237" t="s">
        <v>180</v>
      </c>
      <c r="C12" s="238">
        <f t="shared" si="2"/>
        <v>1464724.496</v>
      </c>
      <c r="D12" s="238"/>
      <c r="E12" s="238"/>
      <c r="F12" s="238"/>
      <c r="G12" s="238">
        <v>1464724.496</v>
      </c>
      <c r="H12" s="238"/>
      <c r="I12" s="238"/>
      <c r="J12" s="238"/>
      <c r="K12" s="238"/>
      <c r="L12" s="238"/>
      <c r="M12" s="238"/>
      <c r="N12" s="238"/>
      <c r="O12" s="238"/>
      <c r="P12" s="238"/>
      <c r="Q12" s="238"/>
      <c r="R12" s="238"/>
      <c r="S12" s="238"/>
      <c r="T12" s="238"/>
      <c r="U12" s="238"/>
      <c r="V12" s="238"/>
      <c r="W12" s="238"/>
    </row>
    <row r="13" spans="1:26" s="268" customFormat="1" ht="29.4" customHeight="1">
      <c r="A13" s="236" t="s">
        <v>179</v>
      </c>
      <c r="B13" s="237" t="s">
        <v>181</v>
      </c>
      <c r="C13" s="238">
        <f t="shared" si="2"/>
        <v>34452.012999999999</v>
      </c>
      <c r="D13" s="238"/>
      <c r="E13" s="238"/>
      <c r="F13" s="238"/>
      <c r="G13" s="238">
        <v>34452.012999999999</v>
      </c>
      <c r="H13" s="238"/>
      <c r="I13" s="238"/>
      <c r="J13" s="238"/>
      <c r="K13" s="238"/>
      <c r="L13" s="238"/>
      <c r="M13" s="238"/>
      <c r="N13" s="238"/>
      <c r="O13" s="238"/>
      <c r="P13" s="238"/>
      <c r="Q13" s="238"/>
      <c r="R13" s="238"/>
      <c r="S13" s="238"/>
      <c r="T13" s="238"/>
      <c r="U13" s="238"/>
      <c r="V13" s="238"/>
      <c r="W13" s="238"/>
    </row>
    <row r="14" spans="1:26" s="267" customFormat="1" ht="29.4" customHeight="1">
      <c r="A14" s="264" t="s">
        <v>182</v>
      </c>
      <c r="B14" s="265" t="s">
        <v>183</v>
      </c>
      <c r="C14" s="266">
        <f t="shared" si="2"/>
        <v>3418387</v>
      </c>
      <c r="D14" s="266"/>
      <c r="E14" s="266"/>
      <c r="F14" s="266"/>
      <c r="G14" s="266">
        <f>SUM(G15:G19)</f>
        <v>3418387</v>
      </c>
      <c r="H14" s="266">
        <f t="shared" ref="H14:U14" si="4">SUM(H15:H19)</f>
        <v>0</v>
      </c>
      <c r="I14" s="266">
        <f t="shared" si="4"/>
        <v>0</v>
      </c>
      <c r="J14" s="266">
        <f t="shared" si="4"/>
        <v>0</v>
      </c>
      <c r="K14" s="266">
        <f t="shared" si="4"/>
        <v>0</v>
      </c>
      <c r="L14" s="266">
        <f t="shared" si="4"/>
        <v>0</v>
      </c>
      <c r="M14" s="266">
        <f t="shared" si="4"/>
        <v>0</v>
      </c>
      <c r="N14" s="266">
        <f t="shared" si="4"/>
        <v>0</v>
      </c>
      <c r="O14" s="266">
        <f>SUM(O15:O19)</f>
        <v>0</v>
      </c>
      <c r="P14" s="266">
        <f t="shared" si="4"/>
        <v>0</v>
      </c>
      <c r="Q14" s="266">
        <f t="shared" si="4"/>
        <v>0</v>
      </c>
      <c r="R14" s="266">
        <f t="shared" si="4"/>
        <v>0</v>
      </c>
      <c r="S14" s="266">
        <f t="shared" si="4"/>
        <v>0</v>
      </c>
      <c r="T14" s="266">
        <f t="shared" si="4"/>
        <v>0</v>
      </c>
      <c r="U14" s="266">
        <f t="shared" si="4"/>
        <v>0</v>
      </c>
      <c r="V14" s="266">
        <f>V15+V19</f>
        <v>0</v>
      </c>
      <c r="W14" s="266">
        <v>22300</v>
      </c>
    </row>
    <row r="15" spans="1:26" s="268" customFormat="1" ht="29.4" customHeight="1">
      <c r="A15" s="236" t="s">
        <v>179</v>
      </c>
      <c r="B15" s="237" t="s">
        <v>180</v>
      </c>
      <c r="C15" s="238">
        <f t="shared" si="2"/>
        <v>2520597</v>
      </c>
      <c r="D15" s="238"/>
      <c r="E15" s="238"/>
      <c r="F15" s="238"/>
      <c r="G15" s="238">
        <v>2520597</v>
      </c>
      <c r="H15" s="238"/>
      <c r="I15" s="238"/>
      <c r="J15" s="238"/>
      <c r="K15" s="238"/>
      <c r="L15" s="238"/>
      <c r="M15" s="238"/>
      <c r="N15" s="238"/>
      <c r="O15" s="238"/>
      <c r="P15" s="238"/>
      <c r="Q15" s="238"/>
      <c r="R15" s="238"/>
      <c r="S15" s="238"/>
      <c r="T15" s="238"/>
      <c r="U15" s="238"/>
      <c r="V15" s="238"/>
      <c r="W15" s="238">
        <v>22300</v>
      </c>
    </row>
    <row r="16" spans="1:26" s="268" customFormat="1" ht="29.4" customHeight="1">
      <c r="A16" s="236" t="s">
        <v>179</v>
      </c>
      <c r="B16" s="237" t="s">
        <v>206</v>
      </c>
      <c r="C16" s="238">
        <f t="shared" si="2"/>
        <v>0</v>
      </c>
      <c r="D16" s="238"/>
      <c r="E16" s="238"/>
      <c r="F16" s="238"/>
      <c r="G16" s="238"/>
      <c r="H16" s="238"/>
      <c r="I16" s="238"/>
      <c r="J16" s="238"/>
      <c r="K16" s="238"/>
      <c r="L16" s="238"/>
      <c r="M16" s="238"/>
      <c r="N16" s="238"/>
      <c r="O16" s="238"/>
      <c r="P16" s="238"/>
      <c r="Q16" s="238"/>
      <c r="R16" s="238"/>
      <c r="S16" s="238"/>
      <c r="T16" s="238"/>
      <c r="U16" s="238"/>
      <c r="V16" s="238"/>
      <c r="W16" s="238"/>
    </row>
    <row r="17" spans="1:24" s="269" customFormat="1" ht="29.4" customHeight="1">
      <c r="A17" s="244" t="s">
        <v>102</v>
      </c>
      <c r="B17" s="241" t="s">
        <v>201</v>
      </c>
      <c r="C17" s="238">
        <f t="shared" si="2"/>
        <v>80000</v>
      </c>
      <c r="D17" s="242"/>
      <c r="E17" s="242"/>
      <c r="F17" s="242"/>
      <c r="G17" s="242">
        <v>80000</v>
      </c>
      <c r="H17" s="242"/>
      <c r="I17" s="242"/>
      <c r="J17" s="242"/>
      <c r="K17" s="242"/>
      <c r="L17" s="242"/>
      <c r="M17" s="242"/>
      <c r="N17" s="242"/>
      <c r="O17" s="242"/>
      <c r="P17" s="242"/>
      <c r="Q17" s="242"/>
      <c r="R17" s="242"/>
      <c r="S17" s="242"/>
      <c r="T17" s="242"/>
      <c r="U17" s="242"/>
      <c r="V17" s="242"/>
      <c r="W17" s="242"/>
    </row>
    <row r="18" spans="1:24" s="269" customFormat="1" ht="29.4" customHeight="1">
      <c r="A18" s="244" t="s">
        <v>102</v>
      </c>
      <c r="B18" s="241" t="s">
        <v>202</v>
      </c>
      <c r="C18" s="238">
        <f t="shared" si="2"/>
        <v>565000</v>
      </c>
      <c r="D18" s="242"/>
      <c r="E18" s="242"/>
      <c r="F18" s="242"/>
      <c r="G18" s="238">
        <f>720000+80000-235000</f>
        <v>565000</v>
      </c>
      <c r="H18" s="242"/>
      <c r="I18" s="242"/>
      <c r="J18" s="242"/>
      <c r="K18" s="242"/>
      <c r="L18" s="242"/>
      <c r="M18" s="242"/>
      <c r="N18" s="242"/>
      <c r="O18" s="242"/>
      <c r="P18" s="242"/>
      <c r="Q18" s="242"/>
      <c r="R18" s="242"/>
      <c r="S18" s="242"/>
      <c r="T18" s="242"/>
      <c r="U18" s="242"/>
      <c r="V18" s="242"/>
      <c r="W18" s="242"/>
    </row>
    <row r="19" spans="1:24" s="268" customFormat="1" ht="29.4" customHeight="1">
      <c r="A19" s="236" t="s">
        <v>179</v>
      </c>
      <c r="B19" s="237" t="s">
        <v>184</v>
      </c>
      <c r="C19" s="238">
        <f t="shared" si="2"/>
        <v>252790</v>
      </c>
      <c r="D19" s="238"/>
      <c r="E19" s="238"/>
      <c r="F19" s="238"/>
      <c r="G19" s="238">
        <v>252790</v>
      </c>
      <c r="H19" s="238"/>
      <c r="I19" s="238"/>
      <c r="J19" s="238"/>
      <c r="K19" s="238"/>
      <c r="L19" s="238"/>
      <c r="M19" s="238"/>
      <c r="N19" s="238"/>
      <c r="O19" s="238"/>
      <c r="P19" s="238"/>
      <c r="Q19" s="238"/>
      <c r="R19" s="238"/>
      <c r="S19" s="238"/>
      <c r="T19" s="238"/>
      <c r="U19" s="238"/>
      <c r="V19" s="238"/>
      <c r="W19" s="238"/>
    </row>
    <row r="20" spans="1:24" s="260" customFormat="1" ht="29.4" customHeight="1">
      <c r="A20" s="261">
        <v>2</v>
      </c>
      <c r="B20" s="262" t="s">
        <v>185</v>
      </c>
      <c r="C20" s="263">
        <f>SUM(G20:U20)+D20</f>
        <v>10711485.698000001</v>
      </c>
      <c r="D20" s="263">
        <f>SUM(E20:F20)</f>
        <v>0</v>
      </c>
      <c r="E20" s="263"/>
      <c r="F20" s="263"/>
      <c r="G20" s="263">
        <f>G21+G24</f>
        <v>7783894.5480000004</v>
      </c>
      <c r="H20" s="263">
        <f t="shared" ref="H20:V20" si="5">H21+H24</f>
        <v>0</v>
      </c>
      <c r="I20" s="263">
        <f t="shared" si="5"/>
        <v>0</v>
      </c>
      <c r="J20" s="263">
        <f t="shared" si="5"/>
        <v>0</v>
      </c>
      <c r="K20" s="263">
        <f t="shared" si="5"/>
        <v>0</v>
      </c>
      <c r="L20" s="263">
        <f t="shared" si="5"/>
        <v>0</v>
      </c>
      <c r="M20" s="263">
        <f t="shared" si="5"/>
        <v>0</v>
      </c>
      <c r="N20" s="263">
        <f t="shared" si="5"/>
        <v>0</v>
      </c>
      <c r="O20" s="263">
        <f>O21+O24</f>
        <v>0</v>
      </c>
      <c r="P20" s="263">
        <f t="shared" si="5"/>
        <v>0</v>
      </c>
      <c r="Q20" s="263">
        <f t="shared" si="5"/>
        <v>0</v>
      </c>
      <c r="R20" s="263">
        <f t="shared" si="5"/>
        <v>1659989</v>
      </c>
      <c r="S20" s="263">
        <f t="shared" si="5"/>
        <v>1156035</v>
      </c>
      <c r="T20" s="263">
        <f t="shared" si="5"/>
        <v>111567.15</v>
      </c>
      <c r="U20" s="263">
        <f t="shared" si="5"/>
        <v>0</v>
      </c>
      <c r="V20" s="263">
        <f t="shared" si="5"/>
        <v>0</v>
      </c>
      <c r="W20" s="263">
        <v>20500</v>
      </c>
    </row>
    <row r="21" spans="1:24" s="267" customFormat="1" ht="29.4" customHeight="1">
      <c r="A21" s="264" t="s">
        <v>186</v>
      </c>
      <c r="B21" s="265" t="s">
        <v>178</v>
      </c>
      <c r="C21" s="266">
        <f>SUM(G21:U21)</f>
        <v>6823581.8080000002</v>
      </c>
      <c r="D21" s="266"/>
      <c r="E21" s="266"/>
      <c r="F21" s="266"/>
      <c r="G21" s="266">
        <f>SUM(G22:G23)</f>
        <v>5013474.6579999998</v>
      </c>
      <c r="H21" s="266">
        <f t="shared" ref="H21:V21" si="6">H22+H23</f>
        <v>0</v>
      </c>
      <c r="I21" s="266">
        <f t="shared" si="6"/>
        <v>0</v>
      </c>
      <c r="J21" s="266">
        <f t="shared" si="6"/>
        <v>0</v>
      </c>
      <c r="K21" s="266">
        <f t="shared" si="6"/>
        <v>0</v>
      </c>
      <c r="L21" s="266">
        <f t="shared" si="6"/>
        <v>0</v>
      </c>
      <c r="M21" s="266">
        <f t="shared" si="6"/>
        <v>0</v>
      </c>
      <c r="N21" s="266">
        <f t="shared" si="6"/>
        <v>0</v>
      </c>
      <c r="O21" s="266">
        <f>O22+O23</f>
        <v>0</v>
      </c>
      <c r="P21" s="266">
        <f t="shared" si="6"/>
        <v>0</v>
      </c>
      <c r="Q21" s="266">
        <f t="shared" si="6"/>
        <v>0</v>
      </c>
      <c r="R21" s="266">
        <f t="shared" si="6"/>
        <v>1060626</v>
      </c>
      <c r="S21" s="266">
        <f t="shared" si="6"/>
        <v>637914</v>
      </c>
      <c r="T21" s="266">
        <f t="shared" si="6"/>
        <v>111567.15</v>
      </c>
      <c r="U21" s="266">
        <f t="shared" si="6"/>
        <v>0</v>
      </c>
      <c r="V21" s="266">
        <f t="shared" si="6"/>
        <v>0</v>
      </c>
      <c r="W21" s="266">
        <v>0</v>
      </c>
    </row>
    <row r="22" spans="1:24" s="268" customFormat="1" ht="29.4" customHeight="1">
      <c r="A22" s="236" t="s">
        <v>179</v>
      </c>
      <c r="B22" s="237" t="s">
        <v>180</v>
      </c>
      <c r="C22" s="238">
        <f>SUM(G22:U22)</f>
        <v>6453887.6579999998</v>
      </c>
      <c r="D22" s="238"/>
      <c r="E22" s="238"/>
      <c r="F22" s="238"/>
      <c r="G22" s="238">
        <v>4980758.6579999998</v>
      </c>
      <c r="H22" s="238"/>
      <c r="I22" s="238"/>
      <c r="J22" s="238"/>
      <c r="K22" s="238"/>
      <c r="L22" s="238"/>
      <c r="M22" s="238"/>
      <c r="N22" s="238"/>
      <c r="O22" s="238"/>
      <c r="P22" s="238"/>
      <c r="Q22" s="238"/>
      <c r="R22" s="238">
        <v>1045626</v>
      </c>
      <c r="S22" s="238">
        <v>427503</v>
      </c>
      <c r="T22" s="238"/>
      <c r="U22" s="238"/>
      <c r="V22" s="238"/>
      <c r="W22" s="238"/>
    </row>
    <row r="23" spans="1:24" s="268" customFormat="1" ht="29.4" customHeight="1">
      <c r="A23" s="236" t="s">
        <v>179</v>
      </c>
      <c r="B23" s="237" t="s">
        <v>181</v>
      </c>
      <c r="C23" s="238">
        <f>SUM(G23:U23)</f>
        <v>369694.15</v>
      </c>
      <c r="D23" s="238"/>
      <c r="E23" s="238"/>
      <c r="F23" s="238"/>
      <c r="G23" s="238">
        <f>32716</f>
        <v>32716</v>
      </c>
      <c r="H23" s="238"/>
      <c r="I23" s="238"/>
      <c r="J23" s="238"/>
      <c r="K23" s="238"/>
      <c r="L23" s="238"/>
      <c r="M23" s="238"/>
      <c r="N23" s="238"/>
      <c r="O23" s="238"/>
      <c r="P23" s="238"/>
      <c r="Q23" s="238"/>
      <c r="R23" s="238">
        <v>15000</v>
      </c>
      <c r="S23" s="238">
        <v>210411</v>
      </c>
      <c r="T23" s="238">
        <v>111567.15</v>
      </c>
      <c r="U23" s="238"/>
      <c r="V23" s="238"/>
      <c r="W23" s="238"/>
    </row>
    <row r="24" spans="1:24" s="267" customFormat="1" ht="29.4" customHeight="1">
      <c r="A24" s="264" t="s">
        <v>187</v>
      </c>
      <c r="B24" s="265" t="s">
        <v>183</v>
      </c>
      <c r="C24" s="266">
        <f>SUM(G24:U24)</f>
        <v>3887903.89</v>
      </c>
      <c r="D24" s="266"/>
      <c r="E24" s="266"/>
      <c r="F24" s="266"/>
      <c r="G24" s="266">
        <f>G25+G29+G34</f>
        <v>2770419.89</v>
      </c>
      <c r="H24" s="266">
        <f t="shared" ref="H24:Q24" si="7">SUM(H25:H34)</f>
        <v>0</v>
      </c>
      <c r="I24" s="266">
        <f t="shared" si="7"/>
        <v>0</v>
      </c>
      <c r="J24" s="266">
        <f t="shared" si="7"/>
        <v>0</v>
      </c>
      <c r="K24" s="266">
        <f t="shared" si="7"/>
        <v>0</v>
      </c>
      <c r="L24" s="266">
        <f t="shared" si="7"/>
        <v>0</v>
      </c>
      <c r="M24" s="266">
        <f t="shared" si="7"/>
        <v>0</v>
      </c>
      <c r="N24" s="266">
        <f t="shared" si="7"/>
        <v>0</v>
      </c>
      <c r="O24" s="266">
        <f t="shared" si="7"/>
        <v>0</v>
      </c>
      <c r="P24" s="266">
        <f t="shared" si="7"/>
        <v>0</v>
      </c>
      <c r="Q24" s="266">
        <f t="shared" si="7"/>
        <v>0</v>
      </c>
      <c r="R24" s="266">
        <f>R25+R29+R34</f>
        <v>599363</v>
      </c>
      <c r="S24" s="266">
        <f>S25+S29+S34</f>
        <v>518121</v>
      </c>
      <c r="T24" s="266">
        <f>SUM(T25:T34)</f>
        <v>0</v>
      </c>
      <c r="U24" s="266">
        <f>SUM(U25:U34)</f>
        <v>0</v>
      </c>
      <c r="V24" s="266">
        <f>SUM(V25:V34)</f>
        <v>0</v>
      </c>
      <c r="W24" s="266">
        <v>20500</v>
      </c>
      <c r="X24" s="270"/>
    </row>
    <row r="25" spans="1:24" s="268" customFormat="1" ht="29.4" customHeight="1">
      <c r="A25" s="236" t="s">
        <v>179</v>
      </c>
      <c r="B25" s="237" t="s">
        <v>213</v>
      </c>
      <c r="C25" s="242">
        <f>SUM(C26:C28)</f>
        <v>2882067.89</v>
      </c>
      <c r="D25" s="238"/>
      <c r="E25" s="238"/>
      <c r="F25" s="238"/>
      <c r="G25" s="238">
        <f>SUM(G26:G28)</f>
        <v>2103919.89</v>
      </c>
      <c r="H25" s="238"/>
      <c r="I25" s="238"/>
      <c r="J25" s="238"/>
      <c r="K25" s="238"/>
      <c r="L25" s="238"/>
      <c r="M25" s="238"/>
      <c r="N25" s="238"/>
      <c r="O25" s="238"/>
      <c r="P25" s="238"/>
      <c r="Q25" s="238"/>
      <c r="R25" s="238">
        <f>SUM(R26:R28)</f>
        <v>333576</v>
      </c>
      <c r="S25" s="238">
        <f>SUM(S26:S28)</f>
        <v>444572</v>
      </c>
      <c r="T25" s="238"/>
      <c r="U25" s="238"/>
      <c r="V25" s="238"/>
      <c r="W25" s="238">
        <v>20500</v>
      </c>
      <c r="X25" s="271"/>
    </row>
    <row r="26" spans="1:24" s="269" customFormat="1" ht="29.4" customHeight="1">
      <c r="A26" s="236" t="s">
        <v>102</v>
      </c>
      <c r="B26" s="241" t="s">
        <v>214</v>
      </c>
      <c r="C26" s="242">
        <f t="shared" ref="C26:C31" si="8">SUM(G26:U26)</f>
        <v>2103919.89</v>
      </c>
      <c r="D26" s="242"/>
      <c r="E26" s="242"/>
      <c r="F26" s="242"/>
      <c r="G26" s="242">
        <v>2103919.89</v>
      </c>
      <c r="H26" s="242"/>
      <c r="I26" s="242"/>
      <c r="J26" s="242"/>
      <c r="K26" s="242"/>
      <c r="L26" s="242"/>
      <c r="M26" s="242"/>
      <c r="N26" s="242"/>
      <c r="O26" s="242"/>
      <c r="P26" s="242"/>
      <c r="Q26" s="242"/>
      <c r="R26" s="242"/>
      <c r="S26" s="242"/>
      <c r="T26" s="242"/>
      <c r="U26" s="242"/>
      <c r="V26" s="242"/>
      <c r="W26" s="242"/>
      <c r="X26" s="272"/>
    </row>
    <row r="27" spans="1:24" s="269" customFormat="1" ht="29.4" customHeight="1">
      <c r="A27" s="236" t="s">
        <v>102</v>
      </c>
      <c r="B27" s="241" t="s">
        <v>215</v>
      </c>
      <c r="C27" s="242">
        <f t="shared" si="8"/>
        <v>333576</v>
      </c>
      <c r="D27" s="242"/>
      <c r="E27" s="242"/>
      <c r="F27" s="242"/>
      <c r="G27" s="242"/>
      <c r="H27" s="242"/>
      <c r="I27" s="242"/>
      <c r="J27" s="242"/>
      <c r="K27" s="242"/>
      <c r="L27" s="242"/>
      <c r="M27" s="242"/>
      <c r="N27" s="242"/>
      <c r="O27" s="242"/>
      <c r="P27" s="242"/>
      <c r="Q27" s="242"/>
      <c r="R27" s="242">
        <v>333576</v>
      </c>
      <c r="S27" s="242"/>
      <c r="T27" s="242"/>
      <c r="U27" s="242"/>
      <c r="V27" s="242"/>
      <c r="W27" s="242"/>
      <c r="X27" s="272"/>
    </row>
    <row r="28" spans="1:24" s="269" customFormat="1" ht="29.4" customHeight="1">
      <c r="A28" s="236" t="s">
        <v>102</v>
      </c>
      <c r="B28" s="241" t="s">
        <v>216</v>
      </c>
      <c r="C28" s="242">
        <f t="shared" si="8"/>
        <v>444572</v>
      </c>
      <c r="D28" s="242"/>
      <c r="E28" s="242"/>
      <c r="F28" s="242"/>
      <c r="G28" s="242"/>
      <c r="H28" s="242"/>
      <c r="I28" s="242"/>
      <c r="J28" s="242"/>
      <c r="K28" s="242"/>
      <c r="L28" s="242"/>
      <c r="M28" s="242"/>
      <c r="N28" s="242"/>
      <c r="O28" s="242"/>
      <c r="P28" s="242"/>
      <c r="Q28" s="242"/>
      <c r="R28" s="242"/>
      <c r="S28" s="242">
        <v>444572</v>
      </c>
      <c r="T28" s="242"/>
      <c r="U28" s="242"/>
      <c r="V28" s="242"/>
      <c r="W28" s="242"/>
      <c r="X28" s="272"/>
    </row>
    <row r="29" spans="1:24" s="268" customFormat="1" ht="29.4" customHeight="1">
      <c r="A29" s="236" t="s">
        <v>179</v>
      </c>
      <c r="B29" s="237" t="s">
        <v>181</v>
      </c>
      <c r="C29" s="238">
        <f t="shared" si="8"/>
        <v>774236</v>
      </c>
      <c r="D29" s="238"/>
      <c r="E29" s="238"/>
      <c r="F29" s="238"/>
      <c r="G29" s="238">
        <f>SUM(G30:G31)</f>
        <v>470000</v>
      </c>
      <c r="H29" s="238"/>
      <c r="I29" s="238"/>
      <c r="J29" s="238"/>
      <c r="K29" s="238"/>
      <c r="L29" s="238"/>
      <c r="M29" s="238"/>
      <c r="N29" s="238"/>
      <c r="O29" s="238"/>
      <c r="P29" s="238"/>
      <c r="Q29" s="238"/>
      <c r="R29" s="238">
        <f>SUM(R30:R33)</f>
        <v>230687</v>
      </c>
      <c r="S29" s="238">
        <f>SUM(S30:S33)</f>
        <v>73549</v>
      </c>
      <c r="T29" s="238"/>
      <c r="U29" s="238"/>
      <c r="V29" s="238"/>
      <c r="W29" s="238"/>
      <c r="X29" s="273"/>
    </row>
    <row r="30" spans="1:24" s="269" customFormat="1" ht="29.4" customHeight="1">
      <c r="A30" s="244" t="s">
        <v>102</v>
      </c>
      <c r="B30" s="241" t="s">
        <v>203</v>
      </c>
      <c r="C30" s="238">
        <f t="shared" si="8"/>
        <v>270000</v>
      </c>
      <c r="D30" s="242"/>
      <c r="E30" s="242"/>
      <c r="F30" s="242"/>
      <c r="G30" s="242">
        <v>270000</v>
      </c>
      <c r="H30" s="242"/>
      <c r="I30" s="242"/>
      <c r="J30" s="242"/>
      <c r="K30" s="242"/>
      <c r="L30" s="242"/>
      <c r="M30" s="242"/>
      <c r="N30" s="242"/>
      <c r="O30" s="242"/>
      <c r="P30" s="242"/>
      <c r="Q30" s="242"/>
      <c r="R30" s="242"/>
      <c r="S30" s="242"/>
      <c r="T30" s="242"/>
      <c r="U30" s="242"/>
      <c r="V30" s="242"/>
      <c r="W30" s="242"/>
    </row>
    <row r="31" spans="1:24" s="269" customFormat="1" ht="29.4" customHeight="1">
      <c r="A31" s="244" t="s">
        <v>102</v>
      </c>
      <c r="B31" s="241" t="s">
        <v>224</v>
      </c>
      <c r="C31" s="238">
        <f t="shared" si="8"/>
        <v>200000</v>
      </c>
      <c r="D31" s="242"/>
      <c r="E31" s="242"/>
      <c r="F31" s="242"/>
      <c r="G31" s="242">
        <v>200000</v>
      </c>
      <c r="H31" s="242"/>
      <c r="I31" s="242"/>
      <c r="J31" s="242"/>
      <c r="K31" s="242"/>
      <c r="L31" s="242"/>
      <c r="M31" s="242"/>
      <c r="N31" s="242"/>
      <c r="O31" s="242"/>
      <c r="P31" s="242"/>
      <c r="Q31" s="242"/>
      <c r="R31" s="242"/>
      <c r="S31" s="242"/>
      <c r="T31" s="242"/>
      <c r="U31" s="242"/>
      <c r="V31" s="242"/>
      <c r="W31" s="242"/>
    </row>
    <row r="32" spans="1:24" s="269" customFormat="1" ht="29.4" customHeight="1">
      <c r="A32" s="236" t="s">
        <v>102</v>
      </c>
      <c r="B32" s="241" t="s">
        <v>215</v>
      </c>
      <c r="C32" s="238">
        <f>SUM(G32:V32)</f>
        <v>230687</v>
      </c>
      <c r="D32" s="242"/>
      <c r="E32" s="242"/>
      <c r="F32" s="242"/>
      <c r="G32" s="242"/>
      <c r="H32" s="242"/>
      <c r="I32" s="242"/>
      <c r="J32" s="242"/>
      <c r="K32" s="242"/>
      <c r="L32" s="242"/>
      <c r="M32" s="242"/>
      <c r="N32" s="242"/>
      <c r="O32" s="242"/>
      <c r="P32" s="242"/>
      <c r="Q32" s="242"/>
      <c r="R32" s="238">
        <f>214374+16313</f>
        <v>230687</v>
      </c>
      <c r="S32" s="242"/>
      <c r="T32" s="242"/>
      <c r="U32" s="242"/>
      <c r="V32" s="242"/>
      <c r="W32" s="242"/>
    </row>
    <row r="33" spans="1:23" s="269" customFormat="1" ht="29.4" customHeight="1">
      <c r="A33" s="236" t="s">
        <v>102</v>
      </c>
      <c r="B33" s="241" t="s">
        <v>216</v>
      </c>
      <c r="C33" s="238">
        <f>SUM(G33:U33)</f>
        <v>73549</v>
      </c>
      <c r="D33" s="242"/>
      <c r="E33" s="242"/>
      <c r="F33" s="242"/>
      <c r="G33" s="242"/>
      <c r="H33" s="242"/>
      <c r="I33" s="242"/>
      <c r="J33" s="242"/>
      <c r="K33" s="242"/>
      <c r="L33" s="242"/>
      <c r="M33" s="242"/>
      <c r="N33" s="242"/>
      <c r="O33" s="242"/>
      <c r="P33" s="242"/>
      <c r="Q33" s="242"/>
      <c r="R33" s="242"/>
      <c r="S33" s="238">
        <v>73549</v>
      </c>
      <c r="T33" s="242"/>
      <c r="U33" s="242"/>
      <c r="V33" s="242"/>
      <c r="W33" s="242"/>
    </row>
    <row r="34" spans="1:23" s="268" customFormat="1" ht="29.4" customHeight="1">
      <c r="A34" s="236" t="s">
        <v>179</v>
      </c>
      <c r="B34" s="237" t="s">
        <v>184</v>
      </c>
      <c r="C34" s="238">
        <f>SUM(G34:U34)</f>
        <v>231600</v>
      </c>
      <c r="D34" s="238"/>
      <c r="E34" s="238"/>
      <c r="F34" s="238"/>
      <c r="G34" s="238">
        <v>196500</v>
      </c>
      <c r="H34" s="238"/>
      <c r="I34" s="238"/>
      <c r="J34" s="238"/>
      <c r="K34" s="238"/>
      <c r="L34" s="238"/>
      <c r="M34" s="238"/>
      <c r="N34" s="238"/>
      <c r="O34" s="238"/>
      <c r="P34" s="238"/>
      <c r="Q34" s="238"/>
      <c r="R34" s="238">
        <v>35100</v>
      </c>
      <c r="S34" s="238"/>
      <c r="T34" s="238"/>
      <c r="U34" s="238"/>
      <c r="V34" s="238"/>
      <c r="W34" s="238"/>
    </row>
    <row r="35" spans="1:23" s="268" customFormat="1" ht="29.4" customHeight="1">
      <c r="A35" s="236" t="s">
        <v>102</v>
      </c>
      <c r="B35" s="241" t="s">
        <v>214</v>
      </c>
      <c r="C35" s="238">
        <f>SUM(G35:U35)</f>
        <v>197061</v>
      </c>
      <c r="D35" s="238"/>
      <c r="E35" s="238"/>
      <c r="F35" s="238"/>
      <c r="G35" s="238">
        <v>197061</v>
      </c>
      <c r="H35" s="238"/>
      <c r="I35" s="238"/>
      <c r="J35" s="238"/>
      <c r="K35" s="238"/>
      <c r="L35" s="238"/>
      <c r="M35" s="238"/>
      <c r="N35" s="238"/>
      <c r="O35" s="238"/>
      <c r="P35" s="238"/>
      <c r="Q35" s="238"/>
      <c r="R35" s="238"/>
      <c r="S35" s="238"/>
      <c r="T35" s="238"/>
      <c r="U35" s="238"/>
      <c r="V35" s="238"/>
      <c r="W35" s="238"/>
    </row>
    <row r="36" spans="1:23" s="268" customFormat="1" ht="29.4" customHeight="1">
      <c r="A36" s="236" t="s">
        <v>102</v>
      </c>
      <c r="B36" s="241" t="s">
        <v>215</v>
      </c>
      <c r="C36" s="238">
        <f>SUM(G36:U36)</f>
        <v>35110</v>
      </c>
      <c r="D36" s="238"/>
      <c r="E36" s="238"/>
      <c r="F36" s="238"/>
      <c r="G36" s="238"/>
      <c r="H36" s="238"/>
      <c r="I36" s="238"/>
      <c r="J36" s="238"/>
      <c r="K36" s="238"/>
      <c r="L36" s="238"/>
      <c r="M36" s="238"/>
      <c r="N36" s="238"/>
      <c r="O36" s="238"/>
      <c r="P36" s="238"/>
      <c r="Q36" s="238"/>
      <c r="R36" s="238">
        <v>35110</v>
      </c>
      <c r="S36" s="238"/>
      <c r="T36" s="238"/>
      <c r="U36" s="238"/>
      <c r="V36" s="238"/>
      <c r="W36" s="238"/>
    </row>
    <row r="37" spans="1:23" s="260" customFormat="1" ht="29.4" customHeight="1">
      <c r="A37" s="261">
        <v>3</v>
      </c>
      <c r="B37" s="262" t="s">
        <v>188</v>
      </c>
      <c r="C37" s="263">
        <f>SUM(G37:U37)+D37</f>
        <v>3673250.9410000001</v>
      </c>
      <c r="D37" s="263">
        <f>SUM(E37:F37)</f>
        <v>0</v>
      </c>
      <c r="E37" s="263"/>
      <c r="F37" s="263"/>
      <c r="G37" s="263">
        <f t="shared" ref="G37:V37" si="9">G38+G41</f>
        <v>3673250.9410000001</v>
      </c>
      <c r="H37" s="263">
        <f t="shared" si="9"/>
        <v>0</v>
      </c>
      <c r="I37" s="263">
        <f t="shared" si="9"/>
        <v>0</v>
      </c>
      <c r="J37" s="263">
        <f t="shared" si="9"/>
        <v>0</v>
      </c>
      <c r="K37" s="263">
        <f t="shared" si="9"/>
        <v>0</v>
      </c>
      <c r="L37" s="263">
        <f t="shared" si="9"/>
        <v>0</v>
      </c>
      <c r="M37" s="263">
        <f t="shared" si="9"/>
        <v>0</v>
      </c>
      <c r="N37" s="263">
        <f t="shared" si="9"/>
        <v>0</v>
      </c>
      <c r="O37" s="263">
        <f>O38+O41</f>
        <v>0</v>
      </c>
      <c r="P37" s="263">
        <f t="shared" si="9"/>
        <v>0</v>
      </c>
      <c r="Q37" s="263">
        <f t="shared" si="9"/>
        <v>0</v>
      </c>
      <c r="R37" s="263">
        <f t="shared" si="9"/>
        <v>0</v>
      </c>
      <c r="S37" s="263">
        <f t="shared" si="9"/>
        <v>0</v>
      </c>
      <c r="T37" s="263">
        <f t="shared" si="9"/>
        <v>0</v>
      </c>
      <c r="U37" s="263">
        <f t="shared" si="9"/>
        <v>0</v>
      </c>
      <c r="V37" s="263">
        <f t="shared" si="9"/>
        <v>0</v>
      </c>
      <c r="W37" s="263">
        <v>15800</v>
      </c>
    </row>
    <row r="38" spans="1:23" s="267" customFormat="1" ht="29.4" customHeight="1">
      <c r="A38" s="264" t="s">
        <v>189</v>
      </c>
      <c r="B38" s="265" t="s">
        <v>178</v>
      </c>
      <c r="C38" s="266">
        <f t="shared" ref="C38:C45" si="10">SUM(G38:U38)</f>
        <v>2172277.9410000001</v>
      </c>
      <c r="D38" s="266"/>
      <c r="E38" s="266"/>
      <c r="F38" s="266"/>
      <c r="G38" s="266">
        <f>SUM(G39:G40)</f>
        <v>2172277.9410000001</v>
      </c>
      <c r="H38" s="266">
        <f t="shared" ref="H38:V38" si="11">SUM(H39:H40)</f>
        <v>0</v>
      </c>
      <c r="I38" s="266">
        <f t="shared" si="11"/>
        <v>0</v>
      </c>
      <c r="J38" s="266">
        <f t="shared" si="11"/>
        <v>0</v>
      </c>
      <c r="K38" s="266">
        <f t="shared" si="11"/>
        <v>0</v>
      </c>
      <c r="L38" s="266">
        <f t="shared" si="11"/>
        <v>0</v>
      </c>
      <c r="M38" s="266">
        <f t="shared" si="11"/>
        <v>0</v>
      </c>
      <c r="N38" s="266">
        <f t="shared" si="11"/>
        <v>0</v>
      </c>
      <c r="O38" s="266">
        <f>SUM(O39:O40)</f>
        <v>0</v>
      </c>
      <c r="P38" s="266">
        <f t="shared" si="11"/>
        <v>0</v>
      </c>
      <c r="Q38" s="266">
        <f t="shared" si="11"/>
        <v>0</v>
      </c>
      <c r="R38" s="266">
        <f t="shared" si="11"/>
        <v>0</v>
      </c>
      <c r="S38" s="266">
        <f t="shared" si="11"/>
        <v>0</v>
      </c>
      <c r="T38" s="266">
        <f t="shared" si="11"/>
        <v>0</v>
      </c>
      <c r="U38" s="266">
        <f t="shared" si="11"/>
        <v>0</v>
      </c>
      <c r="V38" s="266">
        <f t="shared" si="11"/>
        <v>0</v>
      </c>
      <c r="W38" s="266">
        <v>0</v>
      </c>
    </row>
    <row r="39" spans="1:23" s="268" customFormat="1" ht="29.4" customHeight="1">
      <c r="A39" s="236" t="s">
        <v>179</v>
      </c>
      <c r="B39" s="237" t="s">
        <v>180</v>
      </c>
      <c r="C39" s="238">
        <f t="shared" si="10"/>
        <v>2167157.9410000001</v>
      </c>
      <c r="D39" s="238"/>
      <c r="E39" s="238"/>
      <c r="F39" s="238"/>
      <c r="G39" s="238">
        <v>2167157.9410000001</v>
      </c>
      <c r="H39" s="238"/>
      <c r="I39" s="238"/>
      <c r="J39" s="238"/>
      <c r="K39" s="238"/>
      <c r="L39" s="238"/>
      <c r="M39" s="238"/>
      <c r="N39" s="238"/>
      <c r="O39" s="238"/>
      <c r="P39" s="238"/>
      <c r="Q39" s="238"/>
      <c r="R39" s="238"/>
      <c r="S39" s="238"/>
      <c r="T39" s="238"/>
      <c r="U39" s="238"/>
      <c r="V39" s="238"/>
      <c r="W39" s="238"/>
    </row>
    <row r="40" spans="1:23" s="268" customFormat="1" ht="29.4" customHeight="1">
      <c r="A40" s="236" t="s">
        <v>179</v>
      </c>
      <c r="B40" s="237" t="s">
        <v>181</v>
      </c>
      <c r="C40" s="238">
        <f t="shared" si="10"/>
        <v>5120</v>
      </c>
      <c r="D40" s="238"/>
      <c r="E40" s="238"/>
      <c r="F40" s="238"/>
      <c r="G40" s="238">
        <v>5120</v>
      </c>
      <c r="H40" s="238"/>
      <c r="I40" s="238"/>
      <c r="J40" s="238"/>
      <c r="K40" s="238"/>
      <c r="L40" s="238"/>
      <c r="M40" s="238"/>
      <c r="N40" s="238"/>
      <c r="O40" s="238"/>
      <c r="P40" s="238"/>
      <c r="Q40" s="238"/>
      <c r="R40" s="238"/>
      <c r="S40" s="238"/>
      <c r="T40" s="238"/>
      <c r="U40" s="238"/>
      <c r="V40" s="238"/>
      <c r="W40" s="238"/>
    </row>
    <row r="41" spans="1:23" s="267" customFormat="1" ht="29.4" customHeight="1">
      <c r="A41" s="264" t="s">
        <v>190</v>
      </c>
      <c r="B41" s="265" t="s">
        <v>183</v>
      </c>
      <c r="C41" s="266">
        <f t="shared" si="10"/>
        <v>1500973</v>
      </c>
      <c r="D41" s="266"/>
      <c r="E41" s="266"/>
      <c r="F41" s="266"/>
      <c r="G41" s="266">
        <f>G42+G43+G45</f>
        <v>1500973</v>
      </c>
      <c r="H41" s="266">
        <f t="shared" ref="H41:U41" si="12">SUM(H42:H45)</f>
        <v>0</v>
      </c>
      <c r="I41" s="266">
        <f t="shared" si="12"/>
        <v>0</v>
      </c>
      <c r="J41" s="266">
        <f t="shared" si="12"/>
        <v>0</v>
      </c>
      <c r="K41" s="266">
        <f t="shared" si="12"/>
        <v>0</v>
      </c>
      <c r="L41" s="266">
        <f t="shared" si="12"/>
        <v>0</v>
      </c>
      <c r="M41" s="266">
        <f t="shared" si="12"/>
        <v>0</v>
      </c>
      <c r="N41" s="266">
        <f t="shared" si="12"/>
        <v>0</v>
      </c>
      <c r="O41" s="266">
        <f>SUM(O42:O45)</f>
        <v>0</v>
      </c>
      <c r="P41" s="266">
        <f t="shared" si="12"/>
        <v>0</v>
      </c>
      <c r="Q41" s="266">
        <f t="shared" si="12"/>
        <v>0</v>
      </c>
      <c r="R41" s="266">
        <f t="shared" si="12"/>
        <v>0</v>
      </c>
      <c r="S41" s="266">
        <f t="shared" si="12"/>
        <v>0</v>
      </c>
      <c r="T41" s="266">
        <f t="shared" si="12"/>
        <v>0</v>
      </c>
      <c r="U41" s="266">
        <f t="shared" si="12"/>
        <v>0</v>
      </c>
      <c r="V41" s="266">
        <f>V42+V43</f>
        <v>0</v>
      </c>
      <c r="W41" s="266">
        <v>15800</v>
      </c>
    </row>
    <row r="42" spans="1:23" s="268" customFormat="1" ht="29.4" customHeight="1">
      <c r="A42" s="236" t="s">
        <v>179</v>
      </c>
      <c r="B42" s="237" t="s">
        <v>180</v>
      </c>
      <c r="C42" s="238">
        <f t="shared" si="10"/>
        <v>1354013</v>
      </c>
      <c r="D42" s="238"/>
      <c r="E42" s="238"/>
      <c r="F42" s="238"/>
      <c r="G42" s="238">
        <v>1354013</v>
      </c>
      <c r="H42" s="238"/>
      <c r="I42" s="238"/>
      <c r="J42" s="238"/>
      <c r="K42" s="238"/>
      <c r="L42" s="238"/>
      <c r="M42" s="238"/>
      <c r="N42" s="238"/>
      <c r="O42" s="238"/>
      <c r="P42" s="238"/>
      <c r="Q42" s="238"/>
      <c r="R42" s="238"/>
      <c r="S42" s="238"/>
      <c r="T42" s="238"/>
      <c r="U42" s="238"/>
      <c r="V42" s="238"/>
      <c r="W42" s="238">
        <v>15800</v>
      </c>
    </row>
    <row r="43" spans="1:23" s="268" customFormat="1" ht="29.4" customHeight="1">
      <c r="A43" s="236" t="s">
        <v>179</v>
      </c>
      <c r="B43" s="237" t="s">
        <v>204</v>
      </c>
      <c r="C43" s="238">
        <f t="shared" si="10"/>
        <v>20000</v>
      </c>
      <c r="D43" s="238"/>
      <c r="E43" s="238"/>
      <c r="F43" s="238"/>
      <c r="G43" s="238">
        <f>G44</f>
        <v>20000</v>
      </c>
      <c r="H43" s="238"/>
      <c r="I43" s="238"/>
      <c r="J43" s="238"/>
      <c r="K43" s="238"/>
      <c r="L43" s="238"/>
      <c r="M43" s="238"/>
      <c r="N43" s="238"/>
      <c r="O43" s="238"/>
      <c r="P43" s="238"/>
      <c r="Q43" s="238"/>
      <c r="R43" s="238"/>
      <c r="S43" s="238"/>
      <c r="T43" s="238"/>
      <c r="U43" s="238"/>
      <c r="V43" s="238"/>
      <c r="W43" s="238"/>
    </row>
    <row r="44" spans="1:23" s="269" customFormat="1" ht="29.4" customHeight="1">
      <c r="A44" s="244" t="s">
        <v>102</v>
      </c>
      <c r="B44" s="241" t="s">
        <v>201</v>
      </c>
      <c r="C44" s="238">
        <f t="shared" si="10"/>
        <v>20000</v>
      </c>
      <c r="D44" s="242"/>
      <c r="E44" s="242"/>
      <c r="F44" s="242"/>
      <c r="G44" s="242">
        <v>20000</v>
      </c>
      <c r="H44" s="242"/>
      <c r="I44" s="242"/>
      <c r="J44" s="242"/>
      <c r="K44" s="242"/>
      <c r="L44" s="242"/>
      <c r="M44" s="242"/>
      <c r="N44" s="242"/>
      <c r="O44" s="242"/>
      <c r="P44" s="242"/>
      <c r="Q44" s="242"/>
      <c r="R44" s="242"/>
      <c r="S44" s="242"/>
      <c r="T44" s="242"/>
      <c r="U44" s="242"/>
      <c r="V44" s="242"/>
      <c r="W44" s="242"/>
    </row>
    <row r="45" spans="1:23" s="268" customFormat="1" ht="29.4" customHeight="1">
      <c r="A45" s="236" t="s">
        <v>179</v>
      </c>
      <c r="B45" s="237" t="s">
        <v>184</v>
      </c>
      <c r="C45" s="238">
        <f t="shared" si="10"/>
        <v>126960</v>
      </c>
      <c r="D45" s="238"/>
      <c r="E45" s="238"/>
      <c r="F45" s="238"/>
      <c r="G45" s="238">
        <v>126960</v>
      </c>
      <c r="H45" s="238"/>
      <c r="I45" s="238"/>
      <c r="J45" s="238"/>
      <c r="K45" s="238"/>
      <c r="L45" s="238"/>
      <c r="M45" s="238"/>
      <c r="N45" s="238"/>
      <c r="O45" s="238"/>
      <c r="P45" s="238"/>
      <c r="Q45" s="238"/>
      <c r="R45" s="238"/>
      <c r="S45" s="238"/>
      <c r="T45" s="238"/>
      <c r="U45" s="238"/>
      <c r="V45" s="238"/>
      <c r="W45" s="238"/>
    </row>
    <row r="46" spans="1:23" s="260" customFormat="1" ht="29.4" customHeight="1">
      <c r="A46" s="261">
        <v>4</v>
      </c>
      <c r="B46" s="262" t="s">
        <v>45</v>
      </c>
      <c r="C46" s="263">
        <f>SUM(G46:U46)+D46</f>
        <v>11557714</v>
      </c>
      <c r="D46" s="263">
        <f>SUM(E46:F46)</f>
        <v>0</v>
      </c>
      <c r="E46" s="263">
        <f t="shared" ref="E46:V46" si="13">E47+E50</f>
        <v>0</v>
      </c>
      <c r="F46" s="263">
        <f t="shared" si="13"/>
        <v>0</v>
      </c>
      <c r="G46" s="263">
        <f t="shared" si="13"/>
        <v>1157607</v>
      </c>
      <c r="H46" s="263">
        <f t="shared" si="13"/>
        <v>0</v>
      </c>
      <c r="I46" s="263">
        <f t="shared" si="13"/>
        <v>0</v>
      </c>
      <c r="J46" s="263">
        <f t="shared" si="13"/>
        <v>7842387</v>
      </c>
      <c r="K46" s="263">
        <f t="shared" si="13"/>
        <v>0</v>
      </c>
      <c r="L46" s="263">
        <f t="shared" si="13"/>
        <v>0</v>
      </c>
      <c r="M46" s="263">
        <f t="shared" si="13"/>
        <v>2557720</v>
      </c>
      <c r="N46" s="263">
        <f t="shared" si="13"/>
        <v>0</v>
      </c>
      <c r="O46" s="263">
        <f>O47+O50</f>
        <v>0</v>
      </c>
      <c r="P46" s="263">
        <f t="shared" si="13"/>
        <v>0</v>
      </c>
      <c r="Q46" s="263">
        <f t="shared" si="13"/>
        <v>0</v>
      </c>
      <c r="R46" s="263">
        <f t="shared" si="13"/>
        <v>0</v>
      </c>
      <c r="S46" s="263">
        <f t="shared" si="13"/>
        <v>0</v>
      </c>
      <c r="T46" s="263">
        <f t="shared" si="13"/>
        <v>0</v>
      </c>
      <c r="U46" s="263">
        <f t="shared" si="13"/>
        <v>0</v>
      </c>
      <c r="V46" s="263">
        <f t="shared" si="13"/>
        <v>0</v>
      </c>
      <c r="W46" s="263">
        <v>302360</v>
      </c>
    </row>
    <row r="47" spans="1:23" s="267" customFormat="1" ht="29.4" customHeight="1">
      <c r="A47" s="264" t="s">
        <v>191</v>
      </c>
      <c r="B47" s="265" t="s">
        <v>178</v>
      </c>
      <c r="C47" s="266">
        <f>SUM(G47:U47)</f>
        <v>718614</v>
      </c>
      <c r="D47" s="266"/>
      <c r="E47" s="266"/>
      <c r="F47" s="266"/>
      <c r="G47" s="266">
        <f>SUM(G48:G49)</f>
        <v>0</v>
      </c>
      <c r="H47" s="266">
        <f t="shared" ref="H47:V47" si="14">H48+H49</f>
        <v>0</v>
      </c>
      <c r="I47" s="266">
        <f t="shared" si="14"/>
        <v>0</v>
      </c>
      <c r="J47" s="266">
        <f t="shared" si="14"/>
        <v>662430</v>
      </c>
      <c r="K47" s="266">
        <f t="shared" si="14"/>
        <v>0</v>
      </c>
      <c r="L47" s="266">
        <f t="shared" si="14"/>
        <v>0</v>
      </c>
      <c r="M47" s="266">
        <f t="shared" si="14"/>
        <v>56184</v>
      </c>
      <c r="N47" s="266">
        <f t="shared" si="14"/>
        <v>0</v>
      </c>
      <c r="O47" s="266">
        <f>O48+O49</f>
        <v>0</v>
      </c>
      <c r="P47" s="266">
        <f t="shared" si="14"/>
        <v>0</v>
      </c>
      <c r="Q47" s="266">
        <f t="shared" si="14"/>
        <v>0</v>
      </c>
      <c r="R47" s="266">
        <f t="shared" si="14"/>
        <v>0</v>
      </c>
      <c r="S47" s="266">
        <f t="shared" si="14"/>
        <v>0</v>
      </c>
      <c r="T47" s="266">
        <f t="shared" si="14"/>
        <v>0</v>
      </c>
      <c r="U47" s="266">
        <f t="shared" si="14"/>
        <v>0</v>
      </c>
      <c r="V47" s="266">
        <f t="shared" si="14"/>
        <v>0</v>
      </c>
      <c r="W47" s="266">
        <v>0</v>
      </c>
    </row>
    <row r="48" spans="1:23" s="268" customFormat="1" ht="29.4" customHeight="1">
      <c r="A48" s="236" t="s">
        <v>179</v>
      </c>
      <c r="B48" s="237" t="s">
        <v>180</v>
      </c>
      <c r="C48" s="238">
        <f>SUM(G48:U48)</f>
        <v>86394</v>
      </c>
      <c r="D48" s="238"/>
      <c r="E48" s="238"/>
      <c r="F48" s="238"/>
      <c r="G48" s="238"/>
      <c r="H48" s="238"/>
      <c r="I48" s="238"/>
      <c r="J48" s="238">
        <f>86394</f>
        <v>86394</v>
      </c>
      <c r="K48" s="238"/>
      <c r="L48" s="238"/>
      <c r="M48" s="238"/>
      <c r="N48" s="238"/>
      <c r="O48" s="238"/>
      <c r="P48" s="238"/>
      <c r="Q48" s="238"/>
      <c r="R48" s="238"/>
      <c r="S48" s="238"/>
      <c r="T48" s="238"/>
      <c r="U48" s="238"/>
      <c r="V48" s="238"/>
      <c r="W48" s="238"/>
    </row>
    <row r="49" spans="1:23" s="268" customFormat="1" ht="29.4" customHeight="1">
      <c r="A49" s="236" t="s">
        <v>179</v>
      </c>
      <c r="B49" s="237" t="s">
        <v>181</v>
      </c>
      <c r="C49" s="238">
        <f>SUM(G49:U49)</f>
        <v>632220</v>
      </c>
      <c r="D49" s="238"/>
      <c r="E49" s="238"/>
      <c r="F49" s="238"/>
      <c r="G49" s="238"/>
      <c r="H49" s="238"/>
      <c r="I49" s="238"/>
      <c r="J49" s="238">
        <f>599686-23650</f>
        <v>576036</v>
      </c>
      <c r="K49" s="238"/>
      <c r="L49" s="238"/>
      <c r="M49" s="238">
        <f>32534+23650</f>
        <v>56184</v>
      </c>
      <c r="N49" s="238"/>
      <c r="O49" s="238"/>
      <c r="P49" s="238"/>
      <c r="Q49" s="238"/>
      <c r="R49" s="238"/>
      <c r="S49" s="238"/>
      <c r="T49" s="238"/>
      <c r="U49" s="238"/>
      <c r="V49" s="238"/>
      <c r="W49" s="238"/>
    </row>
    <row r="50" spans="1:23" s="267" customFormat="1" ht="29.4" customHeight="1">
      <c r="A50" s="264" t="s">
        <v>192</v>
      </c>
      <c r="B50" s="265" t="s">
        <v>183</v>
      </c>
      <c r="C50" s="266">
        <f t="shared" ref="C50:V50" si="15">C51+C52+C60</f>
        <v>10824100</v>
      </c>
      <c r="D50" s="266">
        <f t="shared" si="15"/>
        <v>0</v>
      </c>
      <c r="E50" s="266">
        <f t="shared" si="15"/>
        <v>0</v>
      </c>
      <c r="F50" s="266">
        <f t="shared" si="15"/>
        <v>0</v>
      </c>
      <c r="G50" s="266">
        <f t="shared" si="15"/>
        <v>1157607</v>
      </c>
      <c r="H50" s="266">
        <f t="shared" si="15"/>
        <v>0</v>
      </c>
      <c r="I50" s="266">
        <f t="shared" si="15"/>
        <v>0</v>
      </c>
      <c r="J50" s="266">
        <f t="shared" si="15"/>
        <v>7179957</v>
      </c>
      <c r="K50" s="266">
        <f t="shared" si="15"/>
        <v>0</v>
      </c>
      <c r="L50" s="266">
        <f t="shared" si="15"/>
        <v>0</v>
      </c>
      <c r="M50" s="266">
        <f t="shared" si="15"/>
        <v>2501536</v>
      </c>
      <c r="N50" s="266">
        <f t="shared" si="15"/>
        <v>0</v>
      </c>
      <c r="O50" s="266">
        <f>O51+O52+O60</f>
        <v>0</v>
      </c>
      <c r="P50" s="266">
        <f t="shared" si="15"/>
        <v>0</v>
      </c>
      <c r="Q50" s="266">
        <f t="shared" si="15"/>
        <v>0</v>
      </c>
      <c r="R50" s="266">
        <f t="shared" si="15"/>
        <v>0</v>
      </c>
      <c r="S50" s="266">
        <f t="shared" si="15"/>
        <v>0</v>
      </c>
      <c r="T50" s="266">
        <f t="shared" si="15"/>
        <v>0</v>
      </c>
      <c r="U50" s="266">
        <f t="shared" si="15"/>
        <v>0</v>
      </c>
      <c r="V50" s="266">
        <f t="shared" si="15"/>
        <v>0</v>
      </c>
      <c r="W50" s="266">
        <v>302360</v>
      </c>
    </row>
    <row r="51" spans="1:23" s="268" customFormat="1" ht="29.4" customHeight="1">
      <c r="A51" s="236" t="s">
        <v>179</v>
      </c>
      <c r="B51" s="237" t="s">
        <v>180</v>
      </c>
      <c r="C51" s="238">
        <f>SUM(G51:U51)</f>
        <v>967097</v>
      </c>
      <c r="D51" s="238"/>
      <c r="E51" s="238"/>
      <c r="F51" s="238"/>
      <c r="G51" s="238">
        <f>940979+12636+13482</f>
        <v>967097</v>
      </c>
      <c r="H51" s="238"/>
      <c r="I51" s="238"/>
      <c r="J51" s="238"/>
      <c r="K51" s="238"/>
      <c r="L51" s="238"/>
      <c r="M51" s="238"/>
      <c r="N51" s="238"/>
      <c r="O51" s="238"/>
      <c r="P51" s="238"/>
      <c r="Q51" s="238"/>
      <c r="R51" s="238"/>
      <c r="S51" s="238"/>
      <c r="T51" s="238"/>
      <c r="U51" s="238"/>
      <c r="V51" s="238"/>
      <c r="W51" s="238">
        <v>11700</v>
      </c>
    </row>
    <row r="52" spans="1:23" s="268" customFormat="1" ht="29.4" customHeight="1">
      <c r="A52" s="236" t="s">
        <v>179</v>
      </c>
      <c r="B52" s="237" t="s">
        <v>204</v>
      </c>
      <c r="C52" s="238">
        <f>SUM(C53:C58)</f>
        <v>9716493</v>
      </c>
      <c r="D52" s="238">
        <f t="shared" ref="D52:V52" si="16">SUM(D53:D58)</f>
        <v>0</v>
      </c>
      <c r="E52" s="238">
        <f t="shared" si="16"/>
        <v>0</v>
      </c>
      <c r="F52" s="238">
        <f t="shared" si="16"/>
        <v>0</v>
      </c>
      <c r="G52" s="238">
        <f>SUM(G53:G59)</f>
        <v>50000</v>
      </c>
      <c r="H52" s="238">
        <f t="shared" si="16"/>
        <v>0</v>
      </c>
      <c r="I52" s="238">
        <f t="shared" si="16"/>
        <v>0</v>
      </c>
      <c r="J52" s="238">
        <f t="shared" si="16"/>
        <v>7179957</v>
      </c>
      <c r="K52" s="238">
        <f t="shared" si="16"/>
        <v>0</v>
      </c>
      <c r="L52" s="238">
        <f t="shared" si="16"/>
        <v>0</v>
      </c>
      <c r="M52" s="238">
        <f t="shared" si="16"/>
        <v>2501536</v>
      </c>
      <c r="N52" s="238">
        <f t="shared" si="16"/>
        <v>0</v>
      </c>
      <c r="O52" s="238">
        <f>SUM(O53:O58)</f>
        <v>0</v>
      </c>
      <c r="P52" s="238">
        <f t="shared" si="16"/>
        <v>0</v>
      </c>
      <c r="Q52" s="238">
        <f t="shared" si="16"/>
        <v>0</v>
      </c>
      <c r="R52" s="238">
        <f t="shared" si="16"/>
        <v>0</v>
      </c>
      <c r="S52" s="238">
        <f t="shared" si="16"/>
        <v>0</v>
      </c>
      <c r="T52" s="238">
        <f t="shared" si="16"/>
        <v>0</v>
      </c>
      <c r="U52" s="238">
        <f t="shared" si="16"/>
        <v>0</v>
      </c>
      <c r="V52" s="238">
        <f t="shared" si="16"/>
        <v>0</v>
      </c>
      <c r="W52" s="238">
        <v>290660</v>
      </c>
    </row>
    <row r="53" spans="1:23" s="269" customFormat="1" ht="29.4" customHeight="1">
      <c r="A53" s="244" t="s">
        <v>102</v>
      </c>
      <c r="B53" s="241" t="s">
        <v>207</v>
      </c>
      <c r="C53" s="242">
        <f t="shared" ref="C53:C60" si="17">SUM(G53:U53)</f>
        <v>3983354</v>
      </c>
      <c r="D53" s="242"/>
      <c r="E53" s="242"/>
      <c r="F53" s="242"/>
      <c r="G53" s="242"/>
      <c r="H53" s="242"/>
      <c r="I53" s="242"/>
      <c r="J53" s="242">
        <f>5439784-J48-J49-J123-J124-J125-600000</f>
        <v>3983354</v>
      </c>
      <c r="K53" s="242"/>
      <c r="L53" s="242"/>
      <c r="M53" s="242"/>
      <c r="N53" s="242"/>
      <c r="O53" s="242"/>
      <c r="P53" s="242"/>
      <c r="Q53" s="242"/>
      <c r="R53" s="242"/>
      <c r="S53" s="242"/>
      <c r="T53" s="242"/>
      <c r="U53" s="242"/>
      <c r="V53" s="242"/>
      <c r="W53" s="242"/>
    </row>
    <row r="54" spans="1:23" s="269" customFormat="1" ht="29.4" customHeight="1">
      <c r="A54" s="244" t="s">
        <v>102</v>
      </c>
      <c r="B54" s="241" t="s">
        <v>211</v>
      </c>
      <c r="C54" s="242">
        <f t="shared" si="17"/>
        <v>90000</v>
      </c>
      <c r="D54" s="242"/>
      <c r="E54" s="242"/>
      <c r="F54" s="242"/>
      <c r="G54" s="242"/>
      <c r="H54" s="242"/>
      <c r="I54" s="242"/>
      <c r="J54" s="242">
        <v>90000</v>
      </c>
      <c r="K54" s="242"/>
      <c r="L54" s="242"/>
      <c r="M54" s="242"/>
      <c r="N54" s="242"/>
      <c r="O54" s="242"/>
      <c r="P54" s="242"/>
      <c r="Q54" s="242"/>
      <c r="R54" s="242"/>
      <c r="S54" s="242"/>
      <c r="T54" s="242"/>
      <c r="U54" s="242"/>
      <c r="V54" s="242"/>
      <c r="W54" s="242"/>
    </row>
    <row r="55" spans="1:23" s="269" customFormat="1" ht="29.4" customHeight="1">
      <c r="A55" s="244" t="s">
        <v>102</v>
      </c>
      <c r="B55" s="241" t="s">
        <v>209</v>
      </c>
      <c r="C55" s="242">
        <f t="shared" si="17"/>
        <v>400000</v>
      </c>
      <c r="D55" s="242"/>
      <c r="E55" s="242"/>
      <c r="F55" s="242"/>
      <c r="G55" s="242"/>
      <c r="H55" s="242"/>
      <c r="I55" s="242"/>
      <c r="J55" s="242">
        <v>400000</v>
      </c>
      <c r="K55" s="242"/>
      <c r="L55" s="242"/>
      <c r="M55" s="242"/>
      <c r="N55" s="242"/>
      <c r="O55" s="242"/>
      <c r="P55" s="242"/>
      <c r="Q55" s="242"/>
      <c r="R55" s="242"/>
      <c r="S55" s="242"/>
      <c r="T55" s="242"/>
      <c r="U55" s="242"/>
      <c r="V55" s="242"/>
      <c r="W55" s="242"/>
    </row>
    <row r="56" spans="1:23" s="269" customFormat="1" ht="29.4" customHeight="1">
      <c r="A56" s="244" t="s">
        <v>102</v>
      </c>
      <c r="B56" s="241" t="s">
        <v>210</v>
      </c>
      <c r="C56" s="242">
        <f t="shared" si="17"/>
        <v>2706603</v>
      </c>
      <c r="D56" s="242"/>
      <c r="E56" s="242"/>
      <c r="F56" s="242"/>
      <c r="G56" s="242"/>
      <c r="H56" s="242"/>
      <c r="I56" s="242"/>
      <c r="J56" s="242">
        <f>2906603-200000</f>
        <v>2706603</v>
      </c>
      <c r="K56" s="242"/>
      <c r="L56" s="242"/>
      <c r="M56" s="242"/>
      <c r="N56" s="242"/>
      <c r="O56" s="242"/>
      <c r="P56" s="242"/>
      <c r="Q56" s="242"/>
      <c r="R56" s="242"/>
      <c r="S56" s="242"/>
      <c r="T56" s="242"/>
      <c r="U56" s="242"/>
      <c r="V56" s="242"/>
      <c r="W56" s="242"/>
    </row>
    <row r="57" spans="1:23" s="269" customFormat="1" ht="29.4" customHeight="1">
      <c r="A57" s="244" t="s">
        <v>102</v>
      </c>
      <c r="B57" s="241" t="s">
        <v>208</v>
      </c>
      <c r="C57" s="242">
        <f t="shared" si="17"/>
        <v>2501536</v>
      </c>
      <c r="D57" s="242"/>
      <c r="E57" s="242"/>
      <c r="F57" s="242"/>
      <c r="G57" s="242"/>
      <c r="H57" s="242"/>
      <c r="I57" s="242"/>
      <c r="J57" s="242"/>
      <c r="K57" s="242"/>
      <c r="L57" s="242"/>
      <c r="M57" s="242">
        <f>2557720-M49</f>
        <v>2501536</v>
      </c>
      <c r="N57" s="242"/>
      <c r="O57" s="242"/>
      <c r="P57" s="242"/>
      <c r="Q57" s="242"/>
      <c r="R57" s="242"/>
      <c r="S57" s="242"/>
      <c r="T57" s="242"/>
      <c r="U57" s="242"/>
      <c r="V57" s="242"/>
      <c r="W57" s="242"/>
    </row>
    <row r="58" spans="1:23" s="269" customFormat="1" ht="29.4" customHeight="1">
      <c r="A58" s="244" t="s">
        <v>102</v>
      </c>
      <c r="B58" s="241" t="s">
        <v>218</v>
      </c>
      <c r="C58" s="242">
        <f t="shared" si="17"/>
        <v>35000</v>
      </c>
      <c r="D58" s="242"/>
      <c r="E58" s="242"/>
      <c r="F58" s="242"/>
      <c r="G58" s="242">
        <v>35000</v>
      </c>
      <c r="H58" s="242"/>
      <c r="I58" s="242"/>
      <c r="J58" s="242"/>
      <c r="K58" s="242"/>
      <c r="L58" s="242"/>
      <c r="M58" s="242"/>
      <c r="N58" s="242"/>
      <c r="O58" s="242"/>
      <c r="P58" s="242"/>
      <c r="Q58" s="242"/>
      <c r="R58" s="242"/>
      <c r="S58" s="242"/>
      <c r="T58" s="242"/>
      <c r="U58" s="242"/>
      <c r="V58" s="242"/>
      <c r="W58" s="242"/>
    </row>
    <row r="59" spans="1:23" s="269" customFormat="1" ht="29.4" customHeight="1">
      <c r="A59" s="244" t="s">
        <v>102</v>
      </c>
      <c r="B59" s="274" t="s">
        <v>219</v>
      </c>
      <c r="C59" s="242">
        <f t="shared" si="17"/>
        <v>15000</v>
      </c>
      <c r="D59" s="242"/>
      <c r="E59" s="242"/>
      <c r="F59" s="242"/>
      <c r="G59" s="242">
        <v>15000</v>
      </c>
      <c r="H59" s="242"/>
      <c r="I59" s="242"/>
      <c r="J59" s="242"/>
      <c r="K59" s="242"/>
      <c r="L59" s="242"/>
      <c r="M59" s="242"/>
      <c r="N59" s="242"/>
      <c r="O59" s="242"/>
      <c r="P59" s="242"/>
      <c r="Q59" s="242"/>
      <c r="R59" s="242"/>
      <c r="S59" s="242"/>
      <c r="T59" s="242"/>
      <c r="U59" s="242"/>
      <c r="V59" s="242"/>
      <c r="W59" s="242"/>
    </row>
    <row r="60" spans="1:23" s="268" customFormat="1" ht="29.4" customHeight="1">
      <c r="A60" s="236" t="s">
        <v>179</v>
      </c>
      <c r="B60" s="237" t="s">
        <v>184</v>
      </c>
      <c r="C60" s="238">
        <f t="shared" si="17"/>
        <v>140510</v>
      </c>
      <c r="D60" s="238"/>
      <c r="E60" s="238"/>
      <c r="F60" s="238"/>
      <c r="G60" s="238">
        <v>140510</v>
      </c>
      <c r="H60" s="238"/>
      <c r="I60" s="238"/>
      <c r="J60" s="238"/>
      <c r="K60" s="238"/>
      <c r="L60" s="238"/>
      <c r="M60" s="238"/>
      <c r="N60" s="238"/>
      <c r="O60" s="238"/>
      <c r="P60" s="238"/>
      <c r="Q60" s="238"/>
      <c r="R60" s="238"/>
      <c r="S60" s="238"/>
      <c r="T60" s="238"/>
      <c r="U60" s="238"/>
      <c r="V60" s="238"/>
      <c r="W60" s="238"/>
    </row>
    <row r="61" spans="1:23" s="260" customFormat="1" ht="29.4" customHeight="1">
      <c r="A61" s="261">
        <v>5</v>
      </c>
      <c r="B61" s="262" t="s">
        <v>46</v>
      </c>
      <c r="C61" s="263">
        <f>SUM(G61:U61)+D61</f>
        <v>9780858.8420000002</v>
      </c>
      <c r="D61" s="263">
        <f>SUM(E61:F61)</f>
        <v>0</v>
      </c>
      <c r="E61" s="263"/>
      <c r="F61" s="263"/>
      <c r="G61" s="263">
        <f>G62+G65</f>
        <v>1210183</v>
      </c>
      <c r="H61" s="263">
        <f t="shared" ref="H61:V61" si="18">H62+H65</f>
        <v>0</v>
      </c>
      <c r="I61" s="263">
        <f t="shared" si="18"/>
        <v>80527</v>
      </c>
      <c r="J61" s="263">
        <f t="shared" si="18"/>
        <v>0</v>
      </c>
      <c r="K61" s="263">
        <f t="shared" si="18"/>
        <v>0</v>
      </c>
      <c r="L61" s="263">
        <f t="shared" si="18"/>
        <v>0</v>
      </c>
      <c r="M61" s="263">
        <f t="shared" si="18"/>
        <v>0</v>
      </c>
      <c r="N61" s="263">
        <f t="shared" si="18"/>
        <v>760000</v>
      </c>
      <c r="O61" s="263">
        <f t="shared" si="18"/>
        <v>510000</v>
      </c>
      <c r="P61" s="263">
        <f t="shared" si="18"/>
        <v>120000</v>
      </c>
      <c r="Q61" s="263">
        <f t="shared" si="18"/>
        <v>7073148.8420000002</v>
      </c>
      <c r="R61" s="263">
        <f t="shared" si="18"/>
        <v>0</v>
      </c>
      <c r="S61" s="263">
        <f t="shared" si="18"/>
        <v>0</v>
      </c>
      <c r="T61" s="263">
        <f t="shared" si="18"/>
        <v>27000</v>
      </c>
      <c r="U61" s="263">
        <f t="shared" si="18"/>
        <v>0</v>
      </c>
      <c r="V61" s="263">
        <f t="shared" si="18"/>
        <v>0</v>
      </c>
      <c r="W61" s="263">
        <v>11200</v>
      </c>
    </row>
    <row r="62" spans="1:23" s="267" customFormat="1" ht="29.4" customHeight="1">
      <c r="A62" s="264" t="s">
        <v>193</v>
      </c>
      <c r="B62" s="265" t="s">
        <v>178</v>
      </c>
      <c r="C62" s="266">
        <f t="shared" ref="C62:C81" si="19">SUM(G62:U62)</f>
        <v>2745391.8420000002</v>
      </c>
      <c r="D62" s="266"/>
      <c r="E62" s="266"/>
      <c r="F62" s="266"/>
      <c r="G62" s="266">
        <f>SUM(G63:G64)</f>
        <v>0</v>
      </c>
      <c r="H62" s="266">
        <f t="shared" ref="H62:V62" si="20">H63+H64</f>
        <v>0</v>
      </c>
      <c r="I62" s="266">
        <f t="shared" si="20"/>
        <v>80527</v>
      </c>
      <c r="J62" s="266">
        <f t="shared" si="20"/>
        <v>0</v>
      </c>
      <c r="K62" s="266">
        <f t="shared" si="20"/>
        <v>0</v>
      </c>
      <c r="L62" s="266">
        <f t="shared" si="20"/>
        <v>0</v>
      </c>
      <c r="M62" s="266">
        <f t="shared" si="20"/>
        <v>0</v>
      </c>
      <c r="N62" s="266">
        <f t="shared" si="20"/>
        <v>377096</v>
      </c>
      <c r="O62" s="266">
        <f>O63+O64</f>
        <v>252576</v>
      </c>
      <c r="P62" s="266">
        <f t="shared" si="20"/>
        <v>58044</v>
      </c>
      <c r="Q62" s="266">
        <f t="shared" si="20"/>
        <v>1977148.8419999999</v>
      </c>
      <c r="R62" s="266">
        <f t="shared" si="20"/>
        <v>0</v>
      </c>
      <c r="S62" s="266">
        <f t="shared" si="20"/>
        <v>0</v>
      </c>
      <c r="T62" s="266">
        <f t="shared" si="20"/>
        <v>0</v>
      </c>
      <c r="U62" s="266">
        <f t="shared" si="20"/>
        <v>0</v>
      </c>
      <c r="V62" s="266">
        <f t="shared" si="20"/>
        <v>0</v>
      </c>
      <c r="W62" s="266">
        <v>0</v>
      </c>
    </row>
    <row r="63" spans="1:23" s="268" customFormat="1" ht="29.4" customHeight="1">
      <c r="A63" s="236" t="s">
        <v>179</v>
      </c>
      <c r="B63" s="237" t="s">
        <v>180</v>
      </c>
      <c r="C63" s="238">
        <f t="shared" si="19"/>
        <v>336684</v>
      </c>
      <c r="D63" s="238"/>
      <c r="E63" s="238"/>
      <c r="F63" s="238"/>
      <c r="G63" s="238"/>
      <c r="H63" s="238"/>
      <c r="I63" s="238"/>
      <c r="J63" s="238"/>
      <c r="K63" s="238"/>
      <c r="L63" s="238"/>
      <c r="M63" s="238"/>
      <c r="N63" s="238">
        <v>137274</v>
      </c>
      <c r="O63" s="238">
        <v>153866</v>
      </c>
      <c r="P63" s="238">
        <v>45544</v>
      </c>
      <c r="Q63" s="238"/>
      <c r="R63" s="238"/>
      <c r="S63" s="238"/>
      <c r="T63" s="238"/>
      <c r="U63" s="238"/>
      <c r="V63" s="238"/>
      <c r="W63" s="238"/>
    </row>
    <row r="64" spans="1:23" s="268" customFormat="1" ht="29.4" customHeight="1">
      <c r="A64" s="236" t="s">
        <v>179</v>
      </c>
      <c r="B64" s="237" t="s">
        <v>181</v>
      </c>
      <c r="C64" s="238">
        <f t="shared" si="19"/>
        <v>2408707.8420000002</v>
      </c>
      <c r="D64" s="238"/>
      <c r="E64" s="238"/>
      <c r="F64" s="238"/>
      <c r="G64" s="238"/>
      <c r="H64" s="238"/>
      <c r="I64" s="238">
        <f>7020+73507</f>
        <v>80527</v>
      </c>
      <c r="J64" s="238"/>
      <c r="K64" s="238"/>
      <c r="L64" s="238"/>
      <c r="M64" s="238"/>
      <c r="N64" s="238">
        <v>239822</v>
      </c>
      <c r="O64" s="238">
        <v>98710</v>
      </c>
      <c r="P64" s="238">
        <v>12500</v>
      </c>
      <c r="Q64" s="238">
        <f>199901.152+42000+1735247.69</f>
        <v>1977148.8419999999</v>
      </c>
      <c r="R64" s="238"/>
      <c r="S64" s="238"/>
      <c r="T64" s="238"/>
      <c r="U64" s="238"/>
      <c r="V64" s="238"/>
      <c r="W64" s="238"/>
    </row>
    <row r="65" spans="1:23" s="267" customFormat="1" ht="29.4" customHeight="1">
      <c r="A65" s="264" t="s">
        <v>194</v>
      </c>
      <c r="B65" s="265" t="s">
        <v>183</v>
      </c>
      <c r="C65" s="266">
        <f t="shared" si="19"/>
        <v>7035467</v>
      </c>
      <c r="D65" s="266"/>
      <c r="E65" s="266"/>
      <c r="F65" s="266"/>
      <c r="G65" s="266">
        <f t="shared" ref="G65:T65" si="21">G66+G71+G81</f>
        <v>1210183</v>
      </c>
      <c r="H65" s="266">
        <f t="shared" si="21"/>
        <v>0</v>
      </c>
      <c r="I65" s="266">
        <f t="shared" si="21"/>
        <v>0</v>
      </c>
      <c r="J65" s="266">
        <f t="shared" si="21"/>
        <v>0</v>
      </c>
      <c r="K65" s="266">
        <f t="shared" si="21"/>
        <v>0</v>
      </c>
      <c r="L65" s="266">
        <f t="shared" si="21"/>
        <v>0</v>
      </c>
      <c r="M65" s="266">
        <f t="shared" si="21"/>
        <v>0</v>
      </c>
      <c r="N65" s="266">
        <f t="shared" si="21"/>
        <v>382904</v>
      </c>
      <c r="O65" s="266">
        <f t="shared" si="21"/>
        <v>257424</v>
      </c>
      <c r="P65" s="266">
        <f t="shared" si="21"/>
        <v>61956</v>
      </c>
      <c r="Q65" s="266">
        <f t="shared" si="21"/>
        <v>5096000</v>
      </c>
      <c r="R65" s="266">
        <f t="shared" si="21"/>
        <v>0</v>
      </c>
      <c r="S65" s="266">
        <f t="shared" si="21"/>
        <v>0</v>
      </c>
      <c r="T65" s="266">
        <f t="shared" si="21"/>
        <v>27000</v>
      </c>
      <c r="U65" s="266">
        <f>U66+U71</f>
        <v>0</v>
      </c>
      <c r="V65" s="266">
        <f>V66+V71</f>
        <v>0</v>
      </c>
      <c r="W65" s="266">
        <v>11200</v>
      </c>
    </row>
    <row r="66" spans="1:23" s="268" customFormat="1" ht="29.4" customHeight="1">
      <c r="A66" s="236" t="s">
        <v>179</v>
      </c>
      <c r="B66" s="237" t="s">
        <v>180</v>
      </c>
      <c r="C66" s="238">
        <f t="shared" si="19"/>
        <v>1120070</v>
      </c>
      <c r="D66" s="238"/>
      <c r="E66" s="238"/>
      <c r="F66" s="238"/>
      <c r="G66" s="238">
        <f t="shared" ref="G66:T66" si="22">SUM(G67:G70)</f>
        <v>864863</v>
      </c>
      <c r="H66" s="238">
        <f t="shared" si="22"/>
        <v>0</v>
      </c>
      <c r="I66" s="238">
        <f t="shared" si="22"/>
        <v>0</v>
      </c>
      <c r="J66" s="238">
        <f t="shared" si="22"/>
        <v>0</v>
      </c>
      <c r="K66" s="238">
        <f t="shared" si="22"/>
        <v>0</v>
      </c>
      <c r="L66" s="238">
        <f t="shared" si="22"/>
        <v>0</v>
      </c>
      <c r="M66" s="238">
        <f t="shared" si="22"/>
        <v>0</v>
      </c>
      <c r="N66" s="238">
        <f t="shared" si="22"/>
        <v>159977</v>
      </c>
      <c r="O66" s="238">
        <f t="shared" si="22"/>
        <v>95230</v>
      </c>
      <c r="P66" s="238">
        <f t="shared" si="22"/>
        <v>0</v>
      </c>
      <c r="Q66" s="238">
        <f t="shared" si="22"/>
        <v>0</v>
      </c>
      <c r="R66" s="238">
        <f t="shared" si="22"/>
        <v>0</v>
      </c>
      <c r="S66" s="238">
        <f t="shared" si="22"/>
        <v>0</v>
      </c>
      <c r="T66" s="238">
        <f t="shared" si="22"/>
        <v>0</v>
      </c>
      <c r="U66" s="238"/>
      <c r="V66" s="238"/>
      <c r="W66" s="238">
        <v>11200</v>
      </c>
    </row>
    <row r="67" spans="1:23" s="268" customFormat="1" ht="29.4" customHeight="1">
      <c r="A67" s="236" t="s">
        <v>102</v>
      </c>
      <c r="B67" s="241" t="s">
        <v>214</v>
      </c>
      <c r="C67" s="238">
        <f t="shared" si="19"/>
        <v>864863</v>
      </c>
      <c r="D67" s="238"/>
      <c r="E67" s="238"/>
      <c r="F67" s="238"/>
      <c r="G67" s="238">
        <v>864863</v>
      </c>
      <c r="H67" s="238"/>
      <c r="I67" s="238"/>
      <c r="J67" s="238"/>
      <c r="K67" s="238"/>
      <c r="L67" s="238"/>
      <c r="M67" s="238"/>
      <c r="N67" s="238"/>
      <c r="O67" s="238"/>
      <c r="P67" s="238"/>
      <c r="Q67" s="238"/>
      <c r="R67" s="238"/>
      <c r="S67" s="238"/>
      <c r="T67" s="238"/>
      <c r="U67" s="238"/>
      <c r="V67" s="238"/>
      <c r="W67" s="238"/>
    </row>
    <row r="68" spans="1:23" s="269" customFormat="1" ht="29.4" customHeight="1">
      <c r="A68" s="244" t="s">
        <v>102</v>
      </c>
      <c r="B68" s="241" t="s">
        <v>173</v>
      </c>
      <c r="C68" s="238">
        <f t="shared" si="19"/>
        <v>159977</v>
      </c>
      <c r="D68" s="242"/>
      <c r="E68" s="242"/>
      <c r="F68" s="242"/>
      <c r="G68" s="242"/>
      <c r="H68" s="242"/>
      <c r="I68" s="242"/>
      <c r="J68" s="242"/>
      <c r="K68" s="242"/>
      <c r="L68" s="242"/>
      <c r="M68" s="242"/>
      <c r="N68" s="238">
        <f>159977</f>
        <v>159977</v>
      </c>
      <c r="O68" s="242"/>
      <c r="P68" s="242"/>
      <c r="Q68" s="242"/>
      <c r="R68" s="242"/>
      <c r="S68" s="242"/>
      <c r="T68" s="242"/>
      <c r="U68" s="242"/>
      <c r="V68" s="242"/>
      <c r="W68" s="242"/>
    </row>
    <row r="69" spans="1:23" s="269" customFormat="1" ht="29.4" customHeight="1">
      <c r="A69" s="244" t="s">
        <v>102</v>
      </c>
      <c r="B69" s="241" t="s">
        <v>175</v>
      </c>
      <c r="C69" s="238">
        <f t="shared" si="19"/>
        <v>95230</v>
      </c>
      <c r="D69" s="242"/>
      <c r="E69" s="242"/>
      <c r="F69" s="242"/>
      <c r="G69" s="242"/>
      <c r="H69" s="242"/>
      <c r="I69" s="242"/>
      <c r="J69" s="242"/>
      <c r="K69" s="242"/>
      <c r="L69" s="242"/>
      <c r="M69" s="242"/>
      <c r="N69" s="242"/>
      <c r="O69" s="238">
        <f>49080+31427+14723</f>
        <v>95230</v>
      </c>
      <c r="P69" s="242"/>
      <c r="Q69" s="242"/>
      <c r="R69" s="242"/>
      <c r="S69" s="242"/>
      <c r="T69" s="242"/>
      <c r="U69" s="242"/>
      <c r="V69" s="242"/>
      <c r="W69" s="242"/>
    </row>
    <row r="70" spans="1:23" s="269" customFormat="1" ht="29.4" customHeight="1">
      <c r="A70" s="244" t="s">
        <v>102</v>
      </c>
      <c r="B70" s="241" t="s">
        <v>174</v>
      </c>
      <c r="C70" s="238">
        <f t="shared" si="19"/>
        <v>0</v>
      </c>
      <c r="D70" s="242"/>
      <c r="E70" s="242"/>
      <c r="F70" s="242"/>
      <c r="G70" s="242"/>
      <c r="H70" s="242"/>
      <c r="I70" s="242"/>
      <c r="J70" s="242"/>
      <c r="K70" s="242"/>
      <c r="L70" s="242"/>
      <c r="M70" s="242"/>
      <c r="N70" s="242"/>
      <c r="O70" s="242"/>
      <c r="P70" s="242"/>
      <c r="Q70" s="242"/>
      <c r="R70" s="242"/>
      <c r="S70" s="242"/>
      <c r="T70" s="242"/>
      <c r="U70" s="242"/>
      <c r="V70" s="242"/>
      <c r="W70" s="242"/>
    </row>
    <row r="71" spans="1:23" s="268" customFormat="1" ht="29.4" customHeight="1">
      <c r="A71" s="236" t="s">
        <v>179</v>
      </c>
      <c r="B71" s="237" t="s">
        <v>204</v>
      </c>
      <c r="C71" s="238">
        <f t="shared" si="19"/>
        <v>5805077</v>
      </c>
      <c r="D71" s="238"/>
      <c r="E71" s="238"/>
      <c r="F71" s="238"/>
      <c r="G71" s="238">
        <f t="shared" ref="G71:V71" si="23">SUM(G72:G80)</f>
        <v>235000</v>
      </c>
      <c r="H71" s="238">
        <f t="shared" si="23"/>
        <v>0</v>
      </c>
      <c r="I71" s="238">
        <f t="shared" si="23"/>
        <v>0</v>
      </c>
      <c r="J71" s="238">
        <f t="shared" si="23"/>
        <v>0</v>
      </c>
      <c r="K71" s="238">
        <f t="shared" si="23"/>
        <v>0</v>
      </c>
      <c r="L71" s="238">
        <f t="shared" si="23"/>
        <v>0</v>
      </c>
      <c r="M71" s="238">
        <f t="shared" si="23"/>
        <v>0</v>
      </c>
      <c r="N71" s="238">
        <f t="shared" si="23"/>
        <v>222927</v>
      </c>
      <c r="O71" s="238">
        <f t="shared" si="23"/>
        <v>162194</v>
      </c>
      <c r="P71" s="238">
        <f t="shared" si="23"/>
        <v>61956</v>
      </c>
      <c r="Q71" s="238">
        <f t="shared" si="23"/>
        <v>5096000</v>
      </c>
      <c r="R71" s="238">
        <f t="shared" si="23"/>
        <v>0</v>
      </c>
      <c r="S71" s="238">
        <f t="shared" si="23"/>
        <v>0</v>
      </c>
      <c r="T71" s="238">
        <f t="shared" si="23"/>
        <v>27000</v>
      </c>
      <c r="U71" s="238">
        <f t="shared" si="23"/>
        <v>0</v>
      </c>
      <c r="V71" s="238">
        <f t="shared" si="23"/>
        <v>0</v>
      </c>
      <c r="W71" s="238"/>
    </row>
    <row r="72" spans="1:23" s="268" customFormat="1" ht="29.4" customHeight="1">
      <c r="A72" s="244" t="s">
        <v>102</v>
      </c>
      <c r="B72" s="241" t="s">
        <v>173</v>
      </c>
      <c r="C72" s="238">
        <f t="shared" si="19"/>
        <v>222927</v>
      </c>
      <c r="D72" s="238"/>
      <c r="E72" s="238"/>
      <c r="F72" s="238"/>
      <c r="G72" s="238"/>
      <c r="H72" s="238"/>
      <c r="I72" s="238"/>
      <c r="J72" s="238"/>
      <c r="K72" s="238"/>
      <c r="L72" s="238"/>
      <c r="M72" s="238"/>
      <c r="N72" s="238">
        <f>36995+1268+184664</f>
        <v>222927</v>
      </c>
      <c r="O72" s="238"/>
      <c r="P72" s="238"/>
      <c r="Q72" s="238"/>
      <c r="R72" s="238"/>
      <c r="S72" s="238"/>
      <c r="T72" s="238"/>
      <c r="U72" s="238"/>
      <c r="V72" s="238"/>
      <c r="W72" s="238"/>
    </row>
    <row r="73" spans="1:23" s="268" customFormat="1" ht="29.4" customHeight="1">
      <c r="A73" s="244" t="s">
        <v>102</v>
      </c>
      <c r="B73" s="241" t="s">
        <v>174</v>
      </c>
      <c r="C73" s="238">
        <f t="shared" si="19"/>
        <v>61956</v>
      </c>
      <c r="D73" s="238"/>
      <c r="E73" s="238"/>
      <c r="F73" s="238"/>
      <c r="G73" s="238"/>
      <c r="H73" s="238"/>
      <c r="I73" s="238"/>
      <c r="J73" s="238"/>
      <c r="K73" s="238"/>
      <c r="L73" s="238"/>
      <c r="M73" s="238"/>
      <c r="N73" s="238"/>
      <c r="O73" s="238"/>
      <c r="P73" s="238">
        <f>5308+13651+32541+10456</f>
        <v>61956</v>
      </c>
      <c r="Q73" s="238"/>
      <c r="R73" s="238"/>
      <c r="S73" s="238"/>
      <c r="T73" s="238"/>
      <c r="U73" s="238"/>
      <c r="V73" s="238"/>
      <c r="W73" s="238"/>
    </row>
    <row r="74" spans="1:23" s="268" customFormat="1" ht="29.4" customHeight="1">
      <c r="A74" s="244" t="s">
        <v>102</v>
      </c>
      <c r="B74" s="241" t="s">
        <v>175</v>
      </c>
      <c r="C74" s="238">
        <f t="shared" si="19"/>
        <v>162194</v>
      </c>
      <c r="D74" s="238"/>
      <c r="E74" s="238"/>
      <c r="F74" s="238"/>
      <c r="G74" s="238"/>
      <c r="H74" s="238"/>
      <c r="I74" s="238"/>
      <c r="J74" s="238"/>
      <c r="K74" s="238"/>
      <c r="L74" s="238"/>
      <c r="M74" s="238"/>
      <c r="N74" s="238"/>
      <c r="O74" s="238">
        <f>4288+23031+134875</f>
        <v>162194</v>
      </c>
      <c r="P74" s="238"/>
      <c r="Q74" s="238"/>
      <c r="R74" s="238"/>
      <c r="S74" s="238"/>
      <c r="T74" s="238"/>
      <c r="U74" s="238"/>
      <c r="V74" s="238"/>
      <c r="W74" s="238"/>
    </row>
    <row r="75" spans="1:23" s="268" customFormat="1" ht="70.8" customHeight="1">
      <c r="A75" s="244" t="s">
        <v>102</v>
      </c>
      <c r="B75" s="241" t="s">
        <v>225</v>
      </c>
      <c r="C75" s="238">
        <f t="shared" si="19"/>
        <v>4635000</v>
      </c>
      <c r="D75" s="238"/>
      <c r="E75" s="238"/>
      <c r="F75" s="238"/>
      <c r="G75" s="238"/>
      <c r="H75" s="238"/>
      <c r="I75" s="238"/>
      <c r="J75" s="238"/>
      <c r="K75" s="238"/>
      <c r="L75" s="238"/>
      <c r="M75" s="238"/>
      <c r="N75" s="238"/>
      <c r="O75" s="238"/>
      <c r="P75" s="238"/>
      <c r="Q75" s="238">
        <v>4635000</v>
      </c>
      <c r="R75" s="238"/>
      <c r="S75" s="238"/>
      <c r="T75" s="238"/>
      <c r="U75" s="238"/>
      <c r="V75" s="238"/>
      <c r="W75" s="238"/>
    </row>
    <row r="76" spans="1:23" s="268" customFormat="1" ht="29.4" customHeight="1">
      <c r="A76" s="244" t="s">
        <v>102</v>
      </c>
      <c r="B76" s="241" t="s">
        <v>220</v>
      </c>
      <c r="C76" s="238">
        <f t="shared" si="19"/>
        <v>162000</v>
      </c>
      <c r="D76" s="238"/>
      <c r="E76" s="238"/>
      <c r="F76" s="238"/>
      <c r="G76" s="238"/>
      <c r="H76" s="238"/>
      <c r="I76" s="238"/>
      <c r="J76" s="238"/>
      <c r="K76" s="238"/>
      <c r="L76" s="238"/>
      <c r="M76" s="238"/>
      <c r="N76" s="238"/>
      <c r="O76" s="238"/>
      <c r="P76" s="238"/>
      <c r="Q76" s="238">
        <v>162000</v>
      </c>
      <c r="R76" s="238"/>
      <c r="S76" s="238"/>
      <c r="T76" s="238"/>
      <c r="U76" s="238"/>
      <c r="V76" s="238"/>
      <c r="W76" s="238"/>
    </row>
    <row r="77" spans="1:23" s="268" customFormat="1" ht="82.2" customHeight="1">
      <c r="A77" s="244" t="s">
        <v>102</v>
      </c>
      <c r="B77" s="241" t="s">
        <v>222</v>
      </c>
      <c r="C77" s="238">
        <f t="shared" si="19"/>
        <v>249000</v>
      </c>
      <c r="D77" s="238"/>
      <c r="E77" s="238"/>
      <c r="F77" s="238"/>
      <c r="G77" s="238"/>
      <c r="H77" s="238"/>
      <c r="I77" s="238"/>
      <c r="J77" s="238"/>
      <c r="K77" s="238"/>
      <c r="L77" s="238"/>
      <c r="M77" s="238"/>
      <c r="N77" s="238"/>
      <c r="O77" s="238"/>
      <c r="P77" s="238"/>
      <c r="Q77" s="238">
        <v>249000</v>
      </c>
      <c r="R77" s="238"/>
      <c r="S77" s="238"/>
      <c r="T77" s="238"/>
      <c r="U77" s="238"/>
      <c r="V77" s="238"/>
      <c r="W77" s="238"/>
    </row>
    <row r="78" spans="1:23" s="268" customFormat="1" ht="29.4" customHeight="1">
      <c r="A78" s="244" t="s">
        <v>102</v>
      </c>
      <c r="B78" s="241" t="s">
        <v>221</v>
      </c>
      <c r="C78" s="238">
        <f t="shared" si="19"/>
        <v>50000</v>
      </c>
      <c r="D78" s="238"/>
      <c r="E78" s="238"/>
      <c r="F78" s="238"/>
      <c r="G78" s="238"/>
      <c r="H78" s="238"/>
      <c r="I78" s="238"/>
      <c r="J78" s="238"/>
      <c r="K78" s="238"/>
      <c r="L78" s="238"/>
      <c r="M78" s="238"/>
      <c r="N78" s="238"/>
      <c r="O78" s="238"/>
      <c r="P78" s="238"/>
      <c r="Q78" s="238">
        <v>50000</v>
      </c>
      <c r="R78" s="238"/>
      <c r="S78" s="238"/>
      <c r="T78" s="238"/>
      <c r="U78" s="238"/>
      <c r="V78" s="238"/>
      <c r="W78" s="238"/>
    </row>
    <row r="79" spans="1:23" s="269" customFormat="1" ht="29.4" customHeight="1">
      <c r="A79" s="244" t="s">
        <v>102</v>
      </c>
      <c r="B79" s="241" t="s">
        <v>205</v>
      </c>
      <c r="C79" s="238">
        <f t="shared" si="19"/>
        <v>27000</v>
      </c>
      <c r="D79" s="242"/>
      <c r="E79" s="242"/>
      <c r="F79" s="242"/>
      <c r="G79" s="242"/>
      <c r="H79" s="242"/>
      <c r="I79" s="242"/>
      <c r="J79" s="242"/>
      <c r="K79" s="242"/>
      <c r="L79" s="242"/>
      <c r="M79" s="242"/>
      <c r="N79" s="242"/>
      <c r="O79" s="242"/>
      <c r="P79" s="242"/>
      <c r="Q79" s="242"/>
      <c r="R79" s="242"/>
      <c r="S79" s="242"/>
      <c r="T79" s="242">
        <v>27000</v>
      </c>
      <c r="U79" s="242"/>
      <c r="V79" s="242"/>
      <c r="W79" s="242"/>
    </row>
    <row r="80" spans="1:23" s="269" customFormat="1" ht="29.4" customHeight="1">
      <c r="A80" s="244" t="s">
        <v>102</v>
      </c>
      <c r="B80" s="241" t="s">
        <v>202</v>
      </c>
      <c r="C80" s="238">
        <f t="shared" si="19"/>
        <v>235000</v>
      </c>
      <c r="D80" s="242"/>
      <c r="E80" s="242"/>
      <c r="F80" s="242"/>
      <c r="G80" s="238">
        <v>235000</v>
      </c>
      <c r="H80" s="242"/>
      <c r="I80" s="242"/>
      <c r="J80" s="242"/>
      <c r="K80" s="242"/>
      <c r="L80" s="242"/>
      <c r="M80" s="242"/>
      <c r="N80" s="242"/>
      <c r="O80" s="242"/>
      <c r="P80" s="242"/>
      <c r="Q80" s="242"/>
      <c r="R80" s="242"/>
      <c r="S80" s="242"/>
      <c r="T80" s="242"/>
      <c r="U80" s="242"/>
      <c r="V80" s="242"/>
      <c r="W80" s="242"/>
    </row>
    <row r="81" spans="1:23" s="268" customFormat="1" ht="29.4" customHeight="1">
      <c r="A81" s="236" t="s">
        <v>179</v>
      </c>
      <c r="B81" s="237" t="s">
        <v>184</v>
      </c>
      <c r="C81" s="238">
        <f t="shared" si="19"/>
        <v>110320</v>
      </c>
      <c r="D81" s="238"/>
      <c r="E81" s="238"/>
      <c r="F81" s="238"/>
      <c r="G81" s="238">
        <v>110320</v>
      </c>
      <c r="H81" s="238"/>
      <c r="I81" s="238"/>
      <c r="J81" s="238"/>
      <c r="K81" s="238"/>
      <c r="L81" s="238"/>
      <c r="M81" s="238"/>
      <c r="N81" s="238"/>
      <c r="O81" s="238"/>
      <c r="P81" s="238"/>
      <c r="Q81" s="238"/>
      <c r="R81" s="238"/>
      <c r="S81" s="238"/>
      <c r="T81" s="238"/>
      <c r="U81" s="238"/>
      <c r="V81" s="238"/>
      <c r="W81" s="238"/>
    </row>
    <row r="82" spans="1:23" s="260" customFormat="1" ht="29.4" customHeight="1">
      <c r="A82" s="261">
        <v>6</v>
      </c>
      <c r="B82" s="262" t="s">
        <v>47</v>
      </c>
      <c r="C82" s="263">
        <f>SUM(G82:U82)+D82</f>
        <v>544281</v>
      </c>
      <c r="D82" s="263">
        <f>SUM(E82:F82)</f>
        <v>0</v>
      </c>
      <c r="E82" s="263"/>
      <c r="F82" s="263"/>
      <c r="G82" s="263">
        <f>SUM(G83:G85)</f>
        <v>544281</v>
      </c>
      <c r="H82" s="263">
        <f t="shared" ref="H82:V82" si="24">SUM(H83:H84)</f>
        <v>0</v>
      </c>
      <c r="I82" s="263">
        <f t="shared" si="24"/>
        <v>0</v>
      </c>
      <c r="J82" s="263">
        <f t="shared" si="24"/>
        <v>0</v>
      </c>
      <c r="K82" s="263">
        <f t="shared" si="24"/>
        <v>0</v>
      </c>
      <c r="L82" s="263">
        <f t="shared" si="24"/>
        <v>0</v>
      </c>
      <c r="M82" s="263">
        <f t="shared" si="24"/>
        <v>0</v>
      </c>
      <c r="N82" s="263">
        <f t="shared" si="24"/>
        <v>0</v>
      </c>
      <c r="O82" s="263">
        <f>SUM(O83:O84)</f>
        <v>0</v>
      </c>
      <c r="P82" s="263">
        <f t="shared" si="24"/>
        <v>0</v>
      </c>
      <c r="Q82" s="263">
        <f t="shared" si="24"/>
        <v>0</v>
      </c>
      <c r="R82" s="263">
        <f t="shared" si="24"/>
        <v>0</v>
      </c>
      <c r="S82" s="263">
        <f t="shared" si="24"/>
        <v>0</v>
      </c>
      <c r="T82" s="263">
        <f t="shared" si="24"/>
        <v>0</v>
      </c>
      <c r="U82" s="263">
        <f t="shared" si="24"/>
        <v>0</v>
      </c>
      <c r="V82" s="263">
        <f t="shared" si="24"/>
        <v>0</v>
      </c>
      <c r="W82" s="263">
        <v>6600</v>
      </c>
    </row>
    <row r="83" spans="1:23" s="268" customFormat="1" ht="29.4" customHeight="1">
      <c r="A83" s="236" t="s">
        <v>179</v>
      </c>
      <c r="B83" s="237" t="s">
        <v>180</v>
      </c>
      <c r="C83" s="238">
        <f>SUM(G83:U83)</f>
        <v>465461</v>
      </c>
      <c r="D83" s="238"/>
      <c r="E83" s="238"/>
      <c r="F83" s="238"/>
      <c r="G83" s="238">
        <v>465461</v>
      </c>
      <c r="H83" s="238"/>
      <c r="I83" s="238"/>
      <c r="J83" s="238"/>
      <c r="K83" s="238"/>
      <c r="L83" s="238"/>
      <c r="M83" s="238"/>
      <c r="N83" s="238"/>
      <c r="O83" s="238"/>
      <c r="P83" s="238"/>
      <c r="Q83" s="238"/>
      <c r="R83" s="238"/>
      <c r="S83" s="238"/>
      <c r="T83" s="238"/>
      <c r="U83" s="238"/>
      <c r="V83" s="238"/>
      <c r="W83" s="238">
        <v>6600</v>
      </c>
    </row>
    <row r="84" spans="1:23" s="268" customFormat="1" ht="29.4" customHeight="1">
      <c r="A84" s="236" t="s">
        <v>179</v>
      </c>
      <c r="B84" s="237" t="s">
        <v>181</v>
      </c>
      <c r="C84" s="238"/>
      <c r="D84" s="238"/>
      <c r="E84" s="238"/>
      <c r="F84" s="238"/>
      <c r="G84" s="238"/>
      <c r="H84" s="238"/>
      <c r="I84" s="238"/>
      <c r="J84" s="238"/>
      <c r="K84" s="238"/>
      <c r="L84" s="238"/>
      <c r="M84" s="238"/>
      <c r="N84" s="238"/>
      <c r="O84" s="238"/>
      <c r="P84" s="238"/>
      <c r="Q84" s="238"/>
      <c r="R84" s="238"/>
      <c r="S84" s="238"/>
      <c r="T84" s="238"/>
      <c r="U84" s="238"/>
      <c r="V84" s="238"/>
      <c r="W84" s="238"/>
    </row>
    <row r="85" spans="1:23" s="268" customFormat="1" ht="29.4" customHeight="1">
      <c r="A85" s="236" t="s">
        <v>179</v>
      </c>
      <c r="B85" s="237" t="s">
        <v>184</v>
      </c>
      <c r="C85" s="238">
        <f>SUM(G85:U85)</f>
        <v>78820</v>
      </c>
      <c r="D85" s="238"/>
      <c r="E85" s="238"/>
      <c r="F85" s="238"/>
      <c r="G85" s="238">
        <v>78820</v>
      </c>
      <c r="H85" s="238"/>
      <c r="I85" s="238"/>
      <c r="J85" s="238"/>
      <c r="K85" s="238"/>
      <c r="L85" s="238"/>
      <c r="M85" s="238"/>
      <c r="N85" s="238"/>
      <c r="O85" s="238"/>
      <c r="P85" s="238"/>
      <c r="Q85" s="238"/>
      <c r="R85" s="238"/>
      <c r="S85" s="238"/>
      <c r="T85" s="238"/>
      <c r="U85" s="238"/>
      <c r="V85" s="238"/>
      <c r="W85" s="238"/>
    </row>
    <row r="86" spans="1:23" s="260" customFormat="1" ht="29.4" customHeight="1">
      <c r="A86" s="261">
        <v>7</v>
      </c>
      <c r="B86" s="262" t="s">
        <v>48</v>
      </c>
      <c r="C86" s="263">
        <f>SUM(G86:U86)+D86</f>
        <v>1923790</v>
      </c>
      <c r="D86" s="263">
        <f>SUM(E86:F86)</f>
        <v>0</v>
      </c>
      <c r="E86" s="263"/>
      <c r="F86" s="263"/>
      <c r="G86" s="263"/>
      <c r="H86" s="263">
        <f>SUM(H87:H89)</f>
        <v>1923790</v>
      </c>
      <c r="I86" s="263"/>
      <c r="J86" s="263"/>
      <c r="K86" s="263"/>
      <c r="L86" s="263"/>
      <c r="M86" s="263"/>
      <c r="N86" s="263"/>
      <c r="O86" s="263"/>
      <c r="P86" s="263"/>
      <c r="Q86" s="263"/>
      <c r="R86" s="263"/>
      <c r="S86" s="263"/>
      <c r="T86" s="263"/>
      <c r="U86" s="263"/>
      <c r="V86" s="263"/>
      <c r="W86" s="263">
        <v>41500</v>
      </c>
    </row>
    <row r="87" spans="1:23" s="268" customFormat="1" ht="29.4" customHeight="1">
      <c r="A87" s="236" t="s">
        <v>179</v>
      </c>
      <c r="B87" s="237" t="s">
        <v>180</v>
      </c>
      <c r="C87" s="238">
        <f>SUM(G87:U87)</f>
        <v>1756897</v>
      </c>
      <c r="D87" s="238"/>
      <c r="E87" s="238"/>
      <c r="F87" s="238"/>
      <c r="G87" s="238"/>
      <c r="H87" s="238">
        <f>1715397+41500</f>
        <v>1756897</v>
      </c>
      <c r="I87" s="238"/>
      <c r="J87" s="238"/>
      <c r="K87" s="238"/>
      <c r="L87" s="238"/>
      <c r="M87" s="238"/>
      <c r="N87" s="238"/>
      <c r="O87" s="238"/>
      <c r="P87" s="238"/>
      <c r="Q87" s="238"/>
      <c r="R87" s="238"/>
      <c r="S87" s="238"/>
      <c r="T87" s="238"/>
      <c r="U87" s="238"/>
      <c r="V87" s="238"/>
      <c r="W87" s="238"/>
    </row>
    <row r="88" spans="1:23" s="268" customFormat="1" ht="29.4" customHeight="1">
      <c r="A88" s="236" t="s">
        <v>179</v>
      </c>
      <c r="B88" s="237" t="s">
        <v>181</v>
      </c>
      <c r="C88" s="238">
        <f>SUM(G88:U88)</f>
        <v>20124</v>
      </c>
      <c r="D88" s="238"/>
      <c r="E88" s="238"/>
      <c r="F88" s="238"/>
      <c r="G88" s="238"/>
      <c r="H88" s="238">
        <v>20124</v>
      </c>
      <c r="I88" s="238"/>
      <c r="J88" s="238"/>
      <c r="K88" s="238"/>
      <c r="L88" s="238"/>
      <c r="M88" s="238"/>
      <c r="N88" s="238"/>
      <c r="O88" s="238"/>
      <c r="P88" s="238"/>
      <c r="Q88" s="238"/>
      <c r="R88" s="238"/>
      <c r="S88" s="238"/>
      <c r="T88" s="238"/>
      <c r="U88" s="238"/>
      <c r="V88" s="238"/>
      <c r="W88" s="238"/>
    </row>
    <row r="89" spans="1:23" s="268" customFormat="1" ht="29.4" customHeight="1">
      <c r="A89" s="236" t="s">
        <v>179</v>
      </c>
      <c r="B89" s="237" t="s">
        <v>184</v>
      </c>
      <c r="C89" s="238">
        <f>SUM(G89:U89)</f>
        <v>146769</v>
      </c>
      <c r="D89" s="238"/>
      <c r="E89" s="238"/>
      <c r="F89" s="238"/>
      <c r="G89" s="238"/>
      <c r="H89" s="238">
        <v>146769</v>
      </c>
      <c r="I89" s="238"/>
      <c r="J89" s="238"/>
      <c r="K89" s="238"/>
      <c r="L89" s="238"/>
      <c r="M89" s="238"/>
      <c r="N89" s="238"/>
      <c r="O89" s="238"/>
      <c r="P89" s="238"/>
      <c r="Q89" s="238"/>
      <c r="R89" s="238"/>
      <c r="S89" s="238"/>
      <c r="T89" s="238"/>
      <c r="U89" s="238"/>
      <c r="V89" s="238"/>
      <c r="W89" s="238"/>
    </row>
    <row r="90" spans="1:23" s="260" customFormat="1" ht="29.4" customHeight="1">
      <c r="A90" s="261">
        <v>8</v>
      </c>
      <c r="B90" s="262" t="s">
        <v>49</v>
      </c>
      <c r="C90" s="263">
        <f>SUM(G90:U90)+D90</f>
        <v>1965555</v>
      </c>
      <c r="D90" s="263">
        <f>SUM(E90:F90)</f>
        <v>0</v>
      </c>
      <c r="E90" s="263"/>
      <c r="F90" s="263"/>
      <c r="G90" s="263"/>
      <c r="H90" s="263">
        <f>SUM(H91:H93)</f>
        <v>1965555</v>
      </c>
      <c r="I90" s="263"/>
      <c r="J90" s="263"/>
      <c r="K90" s="263"/>
      <c r="L90" s="263"/>
      <c r="M90" s="263"/>
      <c r="N90" s="263"/>
      <c r="O90" s="263"/>
      <c r="P90" s="263"/>
      <c r="Q90" s="263"/>
      <c r="R90" s="263"/>
      <c r="S90" s="263"/>
      <c r="T90" s="263"/>
      <c r="U90" s="263"/>
      <c r="V90" s="263"/>
      <c r="W90" s="263">
        <v>28300</v>
      </c>
    </row>
    <row r="91" spans="1:23" s="268" customFormat="1" ht="29.4" customHeight="1">
      <c r="A91" s="236" t="s">
        <v>179</v>
      </c>
      <c r="B91" s="237" t="s">
        <v>180</v>
      </c>
      <c r="C91" s="238">
        <f>SUM(G91:U91)</f>
        <v>1796770</v>
      </c>
      <c r="D91" s="238"/>
      <c r="E91" s="238"/>
      <c r="F91" s="238"/>
      <c r="G91" s="238"/>
      <c r="H91" s="238">
        <f>1768470+28300</f>
        <v>1796770</v>
      </c>
      <c r="I91" s="238"/>
      <c r="J91" s="238"/>
      <c r="K91" s="238"/>
      <c r="L91" s="238"/>
      <c r="M91" s="238"/>
      <c r="N91" s="238"/>
      <c r="O91" s="238"/>
      <c r="P91" s="238"/>
      <c r="Q91" s="238"/>
      <c r="R91" s="238"/>
      <c r="S91" s="238"/>
      <c r="T91" s="238"/>
      <c r="U91" s="238"/>
      <c r="V91" s="238"/>
      <c r="W91" s="238"/>
    </row>
    <row r="92" spans="1:23" s="268" customFormat="1" ht="29.4" customHeight="1">
      <c r="A92" s="236" t="s">
        <v>179</v>
      </c>
      <c r="B92" s="237" t="s">
        <v>181</v>
      </c>
      <c r="C92" s="238">
        <f>SUM(G92:U92)</f>
        <v>1727</v>
      </c>
      <c r="D92" s="238"/>
      <c r="E92" s="238"/>
      <c r="F92" s="238"/>
      <c r="G92" s="238"/>
      <c r="H92" s="238">
        <v>1727</v>
      </c>
      <c r="I92" s="238"/>
      <c r="J92" s="238"/>
      <c r="K92" s="238"/>
      <c r="L92" s="238"/>
      <c r="M92" s="238"/>
      <c r="N92" s="238"/>
      <c r="O92" s="238"/>
      <c r="P92" s="238"/>
      <c r="Q92" s="238"/>
      <c r="R92" s="238"/>
      <c r="S92" s="238"/>
      <c r="T92" s="238"/>
      <c r="U92" s="238"/>
      <c r="V92" s="238"/>
      <c r="W92" s="238"/>
    </row>
    <row r="93" spans="1:23" s="268" customFormat="1" ht="29.4" customHeight="1">
      <c r="A93" s="236" t="s">
        <v>179</v>
      </c>
      <c r="B93" s="237" t="s">
        <v>184</v>
      </c>
      <c r="C93" s="238">
        <f>SUM(G93:U93)</f>
        <v>167058</v>
      </c>
      <c r="D93" s="238"/>
      <c r="E93" s="238"/>
      <c r="F93" s="238"/>
      <c r="G93" s="238"/>
      <c r="H93" s="238">
        <v>167058</v>
      </c>
      <c r="I93" s="238"/>
      <c r="J93" s="238"/>
      <c r="K93" s="238"/>
      <c r="L93" s="238"/>
      <c r="M93" s="238"/>
      <c r="N93" s="238"/>
      <c r="O93" s="238"/>
      <c r="P93" s="238"/>
      <c r="Q93" s="238"/>
      <c r="R93" s="238"/>
      <c r="S93" s="238"/>
      <c r="T93" s="238"/>
      <c r="U93" s="238"/>
      <c r="V93" s="238"/>
      <c r="W93" s="238"/>
    </row>
    <row r="94" spans="1:23" s="260" customFormat="1" ht="29.4" customHeight="1">
      <c r="A94" s="261">
        <v>9</v>
      </c>
      <c r="B94" s="262" t="s">
        <v>50</v>
      </c>
      <c r="C94" s="263">
        <f>SUM(G94:U94)+D94</f>
        <v>1324110</v>
      </c>
      <c r="D94" s="263">
        <f>SUM(E94:F94)</f>
        <v>0</v>
      </c>
      <c r="E94" s="263"/>
      <c r="F94" s="263"/>
      <c r="G94" s="263"/>
      <c r="H94" s="263">
        <f>SUM(H95:H97)</f>
        <v>1324110</v>
      </c>
      <c r="I94" s="263"/>
      <c r="J94" s="263"/>
      <c r="K94" s="263"/>
      <c r="L94" s="263"/>
      <c r="M94" s="263"/>
      <c r="N94" s="263"/>
      <c r="O94" s="263"/>
      <c r="P94" s="263"/>
      <c r="Q94" s="263"/>
      <c r="R94" s="263"/>
      <c r="S94" s="263"/>
      <c r="T94" s="263"/>
      <c r="U94" s="263"/>
      <c r="V94" s="263"/>
      <c r="W94" s="263">
        <v>18362</v>
      </c>
    </row>
    <row r="95" spans="1:23" s="268" customFormat="1" ht="29.4" customHeight="1">
      <c r="A95" s="236" t="s">
        <v>179</v>
      </c>
      <c r="B95" s="237" t="s">
        <v>180</v>
      </c>
      <c r="C95" s="238">
        <f>SUM(G95:U95)</f>
        <v>1002922</v>
      </c>
      <c r="D95" s="238"/>
      <c r="E95" s="238"/>
      <c r="F95" s="238"/>
      <c r="G95" s="238"/>
      <c r="H95" s="238">
        <f>984560+18362</f>
        <v>1002922</v>
      </c>
      <c r="I95" s="238"/>
      <c r="J95" s="238"/>
      <c r="K95" s="238"/>
      <c r="L95" s="238"/>
      <c r="M95" s="238"/>
      <c r="N95" s="238"/>
      <c r="O95" s="238"/>
      <c r="P95" s="238"/>
      <c r="Q95" s="238"/>
      <c r="R95" s="238"/>
      <c r="S95" s="238"/>
      <c r="T95" s="238"/>
      <c r="U95" s="238"/>
      <c r="V95" s="238"/>
      <c r="W95" s="238"/>
    </row>
    <row r="96" spans="1:23" s="268" customFormat="1" ht="29.4" customHeight="1">
      <c r="A96" s="236" t="s">
        <v>179</v>
      </c>
      <c r="B96" s="237" t="s">
        <v>181</v>
      </c>
      <c r="C96" s="238">
        <f>SUM(G96:U96)</f>
        <v>216605</v>
      </c>
      <c r="D96" s="238"/>
      <c r="E96" s="238"/>
      <c r="F96" s="238"/>
      <c r="G96" s="238"/>
      <c r="H96" s="238">
        <v>216605</v>
      </c>
      <c r="I96" s="238"/>
      <c r="J96" s="238"/>
      <c r="K96" s="238"/>
      <c r="L96" s="238"/>
      <c r="M96" s="238"/>
      <c r="N96" s="238"/>
      <c r="O96" s="238"/>
      <c r="P96" s="238"/>
      <c r="Q96" s="238"/>
      <c r="R96" s="238"/>
      <c r="S96" s="238"/>
      <c r="T96" s="238"/>
      <c r="U96" s="238"/>
      <c r="V96" s="238"/>
      <c r="W96" s="238"/>
    </row>
    <row r="97" spans="1:23" s="268" customFormat="1" ht="29.4" customHeight="1">
      <c r="A97" s="236" t="s">
        <v>179</v>
      </c>
      <c r="B97" s="237" t="s">
        <v>184</v>
      </c>
      <c r="C97" s="238">
        <f>SUM(G97:U97)</f>
        <v>104583</v>
      </c>
      <c r="D97" s="238"/>
      <c r="E97" s="238"/>
      <c r="F97" s="238"/>
      <c r="G97" s="238"/>
      <c r="H97" s="238">
        <v>104583</v>
      </c>
      <c r="I97" s="238"/>
      <c r="J97" s="238"/>
      <c r="K97" s="238"/>
      <c r="L97" s="238"/>
      <c r="M97" s="238"/>
      <c r="N97" s="238"/>
      <c r="O97" s="238"/>
      <c r="P97" s="238"/>
      <c r="Q97" s="238"/>
      <c r="R97" s="238"/>
      <c r="S97" s="238"/>
      <c r="T97" s="238"/>
      <c r="U97" s="238"/>
      <c r="V97" s="238"/>
      <c r="W97" s="238"/>
    </row>
    <row r="98" spans="1:23" s="260" customFormat="1" ht="29.4" customHeight="1">
      <c r="A98" s="261">
        <v>10</v>
      </c>
      <c r="B98" s="262" t="s">
        <v>195</v>
      </c>
      <c r="C98" s="263">
        <f>SUM(G98:U98)+D98</f>
        <v>5795516</v>
      </c>
      <c r="D98" s="263">
        <f>SUM(E98:F98)</f>
        <v>0</v>
      </c>
      <c r="E98" s="263"/>
      <c r="F98" s="263"/>
      <c r="G98" s="263"/>
      <c r="H98" s="263">
        <f>SUM(H99:H101)</f>
        <v>5795516</v>
      </c>
      <c r="I98" s="263"/>
      <c r="J98" s="263"/>
      <c r="K98" s="263"/>
      <c r="L98" s="263"/>
      <c r="M98" s="263"/>
      <c r="N98" s="263"/>
      <c r="O98" s="263"/>
      <c r="P98" s="263"/>
      <c r="Q98" s="263"/>
      <c r="R98" s="263"/>
      <c r="S98" s="263"/>
      <c r="T98" s="263"/>
      <c r="U98" s="263"/>
      <c r="V98" s="263"/>
      <c r="W98" s="263">
        <v>93800</v>
      </c>
    </row>
    <row r="99" spans="1:23" s="268" customFormat="1" ht="29.4" customHeight="1">
      <c r="A99" s="236" t="s">
        <v>179</v>
      </c>
      <c r="B99" s="237" t="s">
        <v>180</v>
      </c>
      <c r="C99" s="238">
        <f>SUM(G99:U99)</f>
        <v>5216026</v>
      </c>
      <c r="D99" s="238"/>
      <c r="E99" s="238"/>
      <c r="F99" s="238"/>
      <c r="G99" s="238"/>
      <c r="H99" s="238">
        <f>5122226+93800</f>
        <v>5216026</v>
      </c>
      <c r="I99" s="238"/>
      <c r="J99" s="238"/>
      <c r="K99" s="238"/>
      <c r="L99" s="238"/>
      <c r="M99" s="238"/>
      <c r="N99" s="238"/>
      <c r="O99" s="238"/>
      <c r="P99" s="238"/>
      <c r="Q99" s="238"/>
      <c r="R99" s="238"/>
      <c r="S99" s="238"/>
      <c r="T99" s="238"/>
      <c r="U99" s="238"/>
      <c r="V99" s="238"/>
      <c r="W99" s="238"/>
    </row>
    <row r="100" spans="1:23" s="268" customFormat="1" ht="29.4" customHeight="1">
      <c r="A100" s="236" t="s">
        <v>179</v>
      </c>
      <c r="B100" s="237" t="s">
        <v>181</v>
      </c>
      <c r="C100" s="238">
        <f>SUM(G100:U100)</f>
        <v>135881</v>
      </c>
      <c r="D100" s="238"/>
      <c r="E100" s="238"/>
      <c r="F100" s="238"/>
      <c r="G100" s="238"/>
      <c r="H100" s="238">
        <v>135881</v>
      </c>
      <c r="I100" s="238"/>
      <c r="J100" s="238"/>
      <c r="K100" s="238"/>
      <c r="L100" s="238"/>
      <c r="M100" s="238"/>
      <c r="N100" s="238"/>
      <c r="O100" s="238"/>
      <c r="P100" s="238"/>
      <c r="Q100" s="238"/>
      <c r="R100" s="238"/>
      <c r="S100" s="238"/>
      <c r="T100" s="238"/>
      <c r="U100" s="238"/>
      <c r="V100" s="238"/>
      <c r="W100" s="238"/>
    </row>
    <row r="101" spans="1:23" s="268" customFormat="1" ht="29.4" customHeight="1">
      <c r="A101" s="236" t="s">
        <v>179</v>
      </c>
      <c r="B101" s="237" t="s">
        <v>184</v>
      </c>
      <c r="C101" s="238">
        <f>SUM(G101:U101)</f>
        <v>443609</v>
      </c>
      <c r="D101" s="238"/>
      <c r="E101" s="238"/>
      <c r="F101" s="238"/>
      <c r="G101" s="238"/>
      <c r="H101" s="238">
        <v>443609</v>
      </c>
      <c r="I101" s="238"/>
      <c r="J101" s="238"/>
      <c r="K101" s="238"/>
      <c r="L101" s="238"/>
      <c r="M101" s="238"/>
      <c r="N101" s="238"/>
      <c r="O101" s="238"/>
      <c r="P101" s="238"/>
      <c r="Q101" s="238"/>
      <c r="R101" s="238"/>
      <c r="S101" s="238"/>
      <c r="T101" s="238"/>
      <c r="U101" s="238"/>
      <c r="V101" s="238"/>
      <c r="W101" s="238"/>
    </row>
    <row r="102" spans="1:23" s="260" customFormat="1" ht="29.4" customHeight="1">
      <c r="A102" s="261">
        <v>11</v>
      </c>
      <c r="B102" s="262" t="s">
        <v>196</v>
      </c>
      <c r="C102" s="263">
        <f>SUM(G102:U102)+D102</f>
        <v>6052562</v>
      </c>
      <c r="D102" s="263">
        <f>SUM(E102:F102)</f>
        <v>0</v>
      </c>
      <c r="E102" s="263"/>
      <c r="F102" s="263"/>
      <c r="G102" s="263"/>
      <c r="H102" s="263">
        <f>SUM(H103:H105)</f>
        <v>6052562</v>
      </c>
      <c r="I102" s="263"/>
      <c r="J102" s="263"/>
      <c r="K102" s="263"/>
      <c r="L102" s="263"/>
      <c r="M102" s="263"/>
      <c r="N102" s="263"/>
      <c r="O102" s="263"/>
      <c r="P102" s="263"/>
      <c r="Q102" s="263"/>
      <c r="R102" s="263"/>
      <c r="S102" s="263"/>
      <c r="T102" s="263"/>
      <c r="U102" s="263"/>
      <c r="V102" s="263"/>
      <c r="W102" s="263">
        <v>93800</v>
      </c>
    </row>
    <row r="103" spans="1:23" s="268" customFormat="1" ht="29.4" customHeight="1">
      <c r="A103" s="236" t="s">
        <v>179</v>
      </c>
      <c r="B103" s="237" t="s">
        <v>180</v>
      </c>
      <c r="C103" s="238">
        <f>SUM(G103:U103)</f>
        <v>5558970</v>
      </c>
      <c r="D103" s="238"/>
      <c r="E103" s="238"/>
      <c r="F103" s="238"/>
      <c r="G103" s="238"/>
      <c r="H103" s="238">
        <f>5465170+93800</f>
        <v>5558970</v>
      </c>
      <c r="I103" s="238"/>
      <c r="J103" s="238"/>
      <c r="K103" s="238"/>
      <c r="L103" s="238"/>
      <c r="M103" s="238"/>
      <c r="N103" s="238"/>
      <c r="O103" s="238"/>
      <c r="P103" s="238"/>
      <c r="Q103" s="238"/>
      <c r="R103" s="238"/>
      <c r="S103" s="238"/>
      <c r="T103" s="238"/>
      <c r="U103" s="238"/>
      <c r="V103" s="238"/>
      <c r="W103" s="238"/>
    </row>
    <row r="104" spans="1:23" s="268" customFormat="1" ht="29.4" customHeight="1">
      <c r="A104" s="236" t="s">
        <v>179</v>
      </c>
      <c r="B104" s="237" t="s">
        <v>181</v>
      </c>
      <c r="C104" s="238">
        <f>SUM(G104:U104)</f>
        <v>15847</v>
      </c>
      <c r="D104" s="238"/>
      <c r="E104" s="238"/>
      <c r="F104" s="238"/>
      <c r="G104" s="238"/>
      <c r="H104" s="238">
        <v>15847</v>
      </c>
      <c r="I104" s="238"/>
      <c r="J104" s="238"/>
      <c r="K104" s="238"/>
      <c r="L104" s="238"/>
      <c r="M104" s="238"/>
      <c r="N104" s="238"/>
      <c r="O104" s="238"/>
      <c r="P104" s="238"/>
      <c r="Q104" s="238"/>
      <c r="R104" s="238"/>
      <c r="S104" s="238"/>
      <c r="T104" s="238"/>
      <c r="U104" s="238"/>
      <c r="V104" s="238"/>
      <c r="W104" s="238"/>
    </row>
    <row r="105" spans="1:23" s="268" customFormat="1" ht="29.4" customHeight="1">
      <c r="A105" s="236" t="s">
        <v>179</v>
      </c>
      <c r="B105" s="237" t="s">
        <v>184</v>
      </c>
      <c r="C105" s="238">
        <f>SUM(G105:U105)</f>
        <v>477745</v>
      </c>
      <c r="D105" s="238"/>
      <c r="E105" s="238"/>
      <c r="F105" s="238"/>
      <c r="G105" s="238"/>
      <c r="H105" s="238">
        <v>477745</v>
      </c>
      <c r="I105" s="238"/>
      <c r="J105" s="238"/>
      <c r="K105" s="238"/>
      <c r="L105" s="238"/>
      <c r="M105" s="238"/>
      <c r="N105" s="238"/>
      <c r="O105" s="238"/>
      <c r="P105" s="238"/>
      <c r="Q105" s="238"/>
      <c r="R105" s="238"/>
      <c r="S105" s="238"/>
      <c r="T105" s="238"/>
      <c r="U105" s="238"/>
      <c r="V105" s="238"/>
      <c r="W105" s="238"/>
    </row>
    <row r="106" spans="1:23" s="260" customFormat="1" ht="29.4" customHeight="1">
      <c r="A106" s="261">
        <v>12</v>
      </c>
      <c r="B106" s="262" t="s">
        <v>54</v>
      </c>
      <c r="C106" s="263">
        <f>SUM(G106:U106)+D106</f>
        <v>3008585</v>
      </c>
      <c r="D106" s="263">
        <f>SUM(E106:F106)</f>
        <v>0</v>
      </c>
      <c r="E106" s="263"/>
      <c r="F106" s="263"/>
      <c r="G106" s="263"/>
      <c r="H106" s="263">
        <f>SUM(H107:H109)</f>
        <v>3008585</v>
      </c>
      <c r="I106" s="263"/>
      <c r="J106" s="263"/>
      <c r="K106" s="263"/>
      <c r="L106" s="263"/>
      <c r="M106" s="263"/>
      <c r="N106" s="263"/>
      <c r="O106" s="263"/>
      <c r="P106" s="263"/>
      <c r="Q106" s="263"/>
      <c r="R106" s="263"/>
      <c r="S106" s="263"/>
      <c r="T106" s="263"/>
      <c r="U106" s="263"/>
      <c r="V106" s="263"/>
      <c r="W106" s="263">
        <v>31500</v>
      </c>
    </row>
    <row r="107" spans="1:23" s="268" customFormat="1" ht="29.4" customHeight="1">
      <c r="A107" s="236" t="s">
        <v>179</v>
      </c>
      <c r="B107" s="237" t="s">
        <v>180</v>
      </c>
      <c r="C107" s="238">
        <f>SUM(G107:U107)</f>
        <v>2548405</v>
      </c>
      <c r="D107" s="238"/>
      <c r="E107" s="238"/>
      <c r="F107" s="238"/>
      <c r="G107" s="238"/>
      <c r="H107" s="238">
        <f>2516905+31500</f>
        <v>2548405</v>
      </c>
      <c r="I107" s="238"/>
      <c r="J107" s="238"/>
      <c r="K107" s="238"/>
      <c r="L107" s="238"/>
      <c r="M107" s="238"/>
      <c r="N107" s="238"/>
      <c r="O107" s="238"/>
      <c r="P107" s="238"/>
      <c r="Q107" s="238"/>
      <c r="R107" s="238"/>
      <c r="S107" s="238"/>
      <c r="T107" s="238"/>
      <c r="U107" s="238"/>
      <c r="V107" s="238"/>
      <c r="W107" s="238"/>
    </row>
    <row r="108" spans="1:23" s="268" customFormat="1" ht="29.4" customHeight="1">
      <c r="A108" s="236" t="s">
        <v>179</v>
      </c>
      <c r="B108" s="237" t="s">
        <v>181</v>
      </c>
      <c r="C108" s="238">
        <f>SUM(G108:U108)</f>
        <v>210177</v>
      </c>
      <c r="D108" s="238"/>
      <c r="E108" s="238"/>
      <c r="F108" s="238"/>
      <c r="G108" s="238"/>
      <c r="H108" s="238">
        <v>210177</v>
      </c>
      <c r="I108" s="238"/>
      <c r="J108" s="238"/>
      <c r="K108" s="238"/>
      <c r="L108" s="238"/>
      <c r="M108" s="238"/>
      <c r="N108" s="238"/>
      <c r="O108" s="238"/>
      <c r="P108" s="238"/>
      <c r="Q108" s="238"/>
      <c r="R108" s="238"/>
      <c r="S108" s="238"/>
      <c r="T108" s="238"/>
      <c r="U108" s="238"/>
      <c r="V108" s="238"/>
      <c r="W108" s="238"/>
    </row>
    <row r="109" spans="1:23" s="268" customFormat="1" ht="29.4" customHeight="1">
      <c r="A109" s="236" t="s">
        <v>179</v>
      </c>
      <c r="B109" s="237" t="s">
        <v>184</v>
      </c>
      <c r="C109" s="238">
        <f>SUM(G109:U109)</f>
        <v>250003</v>
      </c>
      <c r="D109" s="238"/>
      <c r="E109" s="238"/>
      <c r="F109" s="238"/>
      <c r="G109" s="238"/>
      <c r="H109" s="238">
        <v>250003</v>
      </c>
      <c r="I109" s="238"/>
      <c r="J109" s="238"/>
      <c r="K109" s="238"/>
      <c r="L109" s="238"/>
      <c r="M109" s="238"/>
      <c r="N109" s="238"/>
      <c r="O109" s="238"/>
      <c r="P109" s="238"/>
      <c r="Q109" s="238"/>
      <c r="R109" s="238"/>
      <c r="S109" s="238"/>
      <c r="T109" s="238"/>
      <c r="U109" s="238"/>
      <c r="V109" s="238"/>
      <c r="W109" s="238"/>
    </row>
    <row r="110" spans="1:23" s="260" customFormat="1" ht="29.4" customHeight="1">
      <c r="A110" s="261">
        <v>13</v>
      </c>
      <c r="B110" s="262" t="s">
        <v>55</v>
      </c>
      <c r="C110" s="263">
        <f>SUM(G110:U110)+D110</f>
        <v>3291078</v>
      </c>
      <c r="D110" s="263">
        <f>SUM(E110:F110)</f>
        <v>0</v>
      </c>
      <c r="E110" s="263"/>
      <c r="F110" s="263"/>
      <c r="G110" s="263"/>
      <c r="H110" s="263">
        <f>SUM(H111:H113)</f>
        <v>3291078</v>
      </c>
      <c r="I110" s="263"/>
      <c r="J110" s="263"/>
      <c r="K110" s="263"/>
      <c r="L110" s="263"/>
      <c r="M110" s="263"/>
      <c r="N110" s="263"/>
      <c r="O110" s="263"/>
      <c r="P110" s="263"/>
      <c r="Q110" s="263"/>
      <c r="R110" s="263"/>
      <c r="S110" s="263"/>
      <c r="T110" s="263"/>
      <c r="U110" s="263"/>
      <c r="V110" s="263"/>
      <c r="W110" s="263">
        <v>58600</v>
      </c>
    </row>
    <row r="111" spans="1:23" s="268" customFormat="1" ht="29.4" customHeight="1">
      <c r="A111" s="236" t="s">
        <v>179</v>
      </c>
      <c r="B111" s="237" t="s">
        <v>180</v>
      </c>
      <c r="C111" s="238">
        <f>SUM(G111:U111)</f>
        <v>2981222</v>
      </c>
      <c r="D111" s="238"/>
      <c r="E111" s="238"/>
      <c r="F111" s="238"/>
      <c r="G111" s="238"/>
      <c r="H111" s="238">
        <f>2922622+58600</f>
        <v>2981222</v>
      </c>
      <c r="I111" s="238"/>
      <c r="J111" s="238"/>
      <c r="K111" s="238"/>
      <c r="L111" s="238"/>
      <c r="M111" s="238"/>
      <c r="N111" s="238"/>
      <c r="O111" s="238"/>
      <c r="P111" s="238"/>
      <c r="Q111" s="238"/>
      <c r="R111" s="238"/>
      <c r="S111" s="238"/>
      <c r="T111" s="238"/>
      <c r="U111" s="238"/>
      <c r="V111" s="238"/>
      <c r="W111" s="238"/>
    </row>
    <row r="112" spans="1:23" s="268" customFormat="1" ht="29.4" customHeight="1">
      <c r="A112" s="236" t="s">
        <v>179</v>
      </c>
      <c r="B112" s="237" t="s">
        <v>181</v>
      </c>
      <c r="C112" s="238">
        <f>SUM(G112:U112)</f>
        <v>21431</v>
      </c>
      <c r="D112" s="238"/>
      <c r="E112" s="238"/>
      <c r="F112" s="238"/>
      <c r="G112" s="238"/>
      <c r="H112" s="238">
        <v>21431</v>
      </c>
      <c r="I112" s="238"/>
      <c r="J112" s="238"/>
      <c r="K112" s="238"/>
      <c r="L112" s="238"/>
      <c r="M112" s="238"/>
      <c r="N112" s="238"/>
      <c r="O112" s="238"/>
      <c r="P112" s="238"/>
      <c r="Q112" s="238"/>
      <c r="R112" s="238"/>
      <c r="S112" s="238"/>
      <c r="T112" s="238"/>
      <c r="U112" s="238"/>
      <c r="V112" s="238"/>
      <c r="W112" s="238"/>
    </row>
    <row r="113" spans="1:24" s="268" customFormat="1" ht="29.4" customHeight="1">
      <c r="A113" s="236" t="s">
        <v>179</v>
      </c>
      <c r="B113" s="237" t="s">
        <v>184</v>
      </c>
      <c r="C113" s="238">
        <f>SUM(G113:U113)</f>
        <v>288425</v>
      </c>
      <c r="D113" s="238"/>
      <c r="E113" s="238"/>
      <c r="F113" s="238"/>
      <c r="G113" s="238"/>
      <c r="H113" s="238">
        <v>288425</v>
      </c>
      <c r="I113" s="238"/>
      <c r="J113" s="238"/>
      <c r="K113" s="238"/>
      <c r="L113" s="238"/>
      <c r="M113" s="238"/>
      <c r="N113" s="238"/>
      <c r="O113" s="238"/>
      <c r="P113" s="238"/>
      <c r="Q113" s="238"/>
      <c r="R113" s="238"/>
      <c r="S113" s="238"/>
      <c r="T113" s="238"/>
      <c r="U113" s="238"/>
      <c r="V113" s="238"/>
      <c r="W113" s="238"/>
    </row>
    <row r="114" spans="1:24" s="260" customFormat="1" ht="29.4" customHeight="1">
      <c r="A114" s="261">
        <v>14</v>
      </c>
      <c r="B114" s="262" t="s">
        <v>56</v>
      </c>
      <c r="C114" s="263">
        <f>SUM(G114:U114)+D114</f>
        <v>4530280</v>
      </c>
      <c r="D114" s="263">
        <f>SUM(E114:F114)</f>
        <v>0</v>
      </c>
      <c r="E114" s="263"/>
      <c r="F114" s="263"/>
      <c r="G114" s="263"/>
      <c r="H114" s="263">
        <f>SUM(H115:H117)</f>
        <v>4530280</v>
      </c>
      <c r="I114" s="263"/>
      <c r="J114" s="263"/>
      <c r="K114" s="263"/>
      <c r="L114" s="263"/>
      <c r="M114" s="263"/>
      <c r="N114" s="263"/>
      <c r="O114" s="263"/>
      <c r="P114" s="263"/>
      <c r="Q114" s="263"/>
      <c r="R114" s="263"/>
      <c r="S114" s="263"/>
      <c r="T114" s="263"/>
      <c r="U114" s="263"/>
      <c r="V114" s="263"/>
      <c r="W114" s="263">
        <v>66000</v>
      </c>
    </row>
    <row r="115" spans="1:24" s="268" customFormat="1" ht="29.4" customHeight="1">
      <c r="A115" s="236" t="s">
        <v>179</v>
      </c>
      <c r="B115" s="237" t="s">
        <v>180</v>
      </c>
      <c r="C115" s="238">
        <f>SUM(G115:U115)</f>
        <v>4120687</v>
      </c>
      <c r="D115" s="238"/>
      <c r="E115" s="238"/>
      <c r="F115" s="238"/>
      <c r="G115" s="238"/>
      <c r="H115" s="238">
        <f>4054687+66000</f>
        <v>4120687</v>
      </c>
      <c r="I115" s="238"/>
      <c r="J115" s="238"/>
      <c r="K115" s="238"/>
      <c r="L115" s="238"/>
      <c r="M115" s="238"/>
      <c r="N115" s="238"/>
      <c r="O115" s="238"/>
      <c r="P115" s="238"/>
      <c r="Q115" s="238"/>
      <c r="R115" s="238"/>
      <c r="S115" s="238"/>
      <c r="T115" s="238"/>
      <c r="U115" s="238"/>
      <c r="V115" s="238"/>
      <c r="W115" s="238"/>
    </row>
    <row r="116" spans="1:24" s="268" customFormat="1" ht="29.4" customHeight="1">
      <c r="A116" s="236" t="s">
        <v>179</v>
      </c>
      <c r="B116" s="237" t="s">
        <v>181</v>
      </c>
      <c r="C116" s="238">
        <f>SUM(G116:U116)</f>
        <v>18769</v>
      </c>
      <c r="D116" s="238"/>
      <c r="E116" s="238"/>
      <c r="F116" s="238"/>
      <c r="G116" s="238"/>
      <c r="H116" s="238">
        <v>18769</v>
      </c>
      <c r="I116" s="238"/>
      <c r="J116" s="238"/>
      <c r="K116" s="238"/>
      <c r="L116" s="238"/>
      <c r="M116" s="238"/>
      <c r="N116" s="238"/>
      <c r="O116" s="238"/>
      <c r="P116" s="238"/>
      <c r="Q116" s="238"/>
      <c r="R116" s="238"/>
      <c r="S116" s="238"/>
      <c r="T116" s="238"/>
      <c r="U116" s="238"/>
      <c r="V116" s="238"/>
      <c r="W116" s="238"/>
    </row>
    <row r="117" spans="1:24" s="268" customFormat="1" ht="29.4" customHeight="1">
      <c r="A117" s="236" t="s">
        <v>179</v>
      </c>
      <c r="B117" s="237" t="s">
        <v>184</v>
      </c>
      <c r="C117" s="238">
        <f>SUM(G117:U117)</f>
        <v>390824</v>
      </c>
      <c r="D117" s="238"/>
      <c r="E117" s="238"/>
      <c r="F117" s="238"/>
      <c r="G117" s="238"/>
      <c r="H117" s="238">
        <v>390824</v>
      </c>
      <c r="I117" s="238"/>
      <c r="J117" s="238"/>
      <c r="K117" s="238"/>
      <c r="L117" s="238"/>
      <c r="M117" s="238"/>
      <c r="N117" s="238"/>
      <c r="O117" s="238"/>
      <c r="P117" s="238"/>
      <c r="Q117" s="238"/>
      <c r="R117" s="238"/>
      <c r="S117" s="238"/>
      <c r="T117" s="238"/>
      <c r="U117" s="238"/>
      <c r="V117" s="238"/>
      <c r="W117" s="238"/>
    </row>
    <row r="118" spans="1:24" s="260" customFormat="1" ht="29.4" customHeight="1">
      <c r="A118" s="261">
        <v>15</v>
      </c>
      <c r="B118" s="262" t="s">
        <v>57</v>
      </c>
      <c r="C118" s="263">
        <f>SUM(G118:U118)+D118</f>
        <v>5595329</v>
      </c>
      <c r="D118" s="263">
        <f>SUM(E118:F118)</f>
        <v>0</v>
      </c>
      <c r="E118" s="263"/>
      <c r="F118" s="263"/>
      <c r="G118" s="263"/>
      <c r="H118" s="263">
        <f>SUM(H119:H121)</f>
        <v>5595329</v>
      </c>
      <c r="I118" s="263"/>
      <c r="J118" s="263"/>
      <c r="K118" s="263"/>
      <c r="L118" s="263"/>
      <c r="M118" s="263"/>
      <c r="N118" s="263"/>
      <c r="O118" s="263"/>
      <c r="P118" s="263"/>
      <c r="Q118" s="263"/>
      <c r="R118" s="263"/>
      <c r="S118" s="263"/>
      <c r="T118" s="263"/>
      <c r="U118" s="263"/>
      <c r="V118" s="263"/>
      <c r="W118" s="263">
        <v>41100</v>
      </c>
    </row>
    <row r="119" spans="1:24" s="268" customFormat="1" ht="29.4" customHeight="1">
      <c r="A119" s="236" t="s">
        <v>179</v>
      </c>
      <c r="B119" s="237" t="s">
        <v>180</v>
      </c>
      <c r="C119" s="238">
        <f>SUM(G119:U119)</f>
        <v>4731671</v>
      </c>
      <c r="D119" s="238"/>
      <c r="E119" s="238"/>
      <c r="F119" s="238"/>
      <c r="G119" s="238"/>
      <c r="H119" s="238">
        <f>4690571+41100</f>
        <v>4731671</v>
      </c>
      <c r="I119" s="238"/>
      <c r="J119" s="238"/>
      <c r="K119" s="238"/>
      <c r="L119" s="238"/>
      <c r="M119" s="238"/>
      <c r="N119" s="238"/>
      <c r="O119" s="238"/>
      <c r="P119" s="238"/>
      <c r="Q119" s="238"/>
      <c r="R119" s="238"/>
      <c r="S119" s="238"/>
      <c r="T119" s="238"/>
      <c r="U119" s="238"/>
      <c r="V119" s="238"/>
      <c r="W119" s="238"/>
    </row>
    <row r="120" spans="1:24" s="268" customFormat="1" ht="29.4" customHeight="1">
      <c r="A120" s="236" t="s">
        <v>179</v>
      </c>
      <c r="B120" s="237" t="s">
        <v>181</v>
      </c>
      <c r="C120" s="238">
        <f>SUM(G120:U120)</f>
        <v>445660</v>
      </c>
      <c r="D120" s="238"/>
      <c r="E120" s="238"/>
      <c r="F120" s="238"/>
      <c r="G120" s="238"/>
      <c r="H120" s="238">
        <v>445660</v>
      </c>
      <c r="I120" s="238"/>
      <c r="J120" s="238"/>
      <c r="K120" s="238"/>
      <c r="L120" s="238"/>
      <c r="M120" s="238"/>
      <c r="N120" s="238"/>
      <c r="O120" s="238"/>
      <c r="P120" s="238"/>
      <c r="Q120" s="238"/>
      <c r="R120" s="238"/>
      <c r="S120" s="238"/>
      <c r="T120" s="238"/>
      <c r="U120" s="238"/>
      <c r="V120" s="238"/>
      <c r="W120" s="238"/>
    </row>
    <row r="121" spans="1:24" s="268" customFormat="1" ht="29.4" customHeight="1">
      <c r="A121" s="236" t="s">
        <v>179</v>
      </c>
      <c r="B121" s="237" t="s">
        <v>184</v>
      </c>
      <c r="C121" s="238">
        <f>SUM(G121:U121)</f>
        <v>417998</v>
      </c>
      <c r="D121" s="238"/>
      <c r="E121" s="238"/>
      <c r="F121" s="238"/>
      <c r="G121" s="238"/>
      <c r="H121" s="238">
        <v>417998</v>
      </c>
      <c r="I121" s="238"/>
      <c r="J121" s="238"/>
      <c r="K121" s="238"/>
      <c r="L121" s="238"/>
      <c r="M121" s="238"/>
      <c r="N121" s="238"/>
      <c r="O121" s="238"/>
      <c r="P121" s="238"/>
      <c r="Q121" s="238"/>
      <c r="R121" s="238"/>
      <c r="S121" s="238"/>
      <c r="T121" s="238"/>
      <c r="U121" s="238"/>
      <c r="V121" s="238"/>
      <c r="W121" s="238"/>
    </row>
    <row r="122" spans="1:24" s="260" customFormat="1" ht="29.4" customHeight="1">
      <c r="A122" s="261">
        <v>16</v>
      </c>
      <c r="B122" s="262" t="s">
        <v>197</v>
      </c>
      <c r="C122" s="263">
        <f>SUM(G122:U122)+D122</f>
        <v>6843135</v>
      </c>
      <c r="D122" s="263">
        <f>SUM(E122:F122)</f>
        <v>0</v>
      </c>
      <c r="E122" s="263"/>
      <c r="F122" s="263"/>
      <c r="G122" s="263">
        <f>3771073-25000-12636-200000-13482-170000</f>
        <v>3349955</v>
      </c>
      <c r="H122" s="263">
        <f>285738-146</f>
        <v>285592</v>
      </c>
      <c r="I122" s="263">
        <f>117451-7397</f>
        <v>110054</v>
      </c>
      <c r="J122" s="263">
        <v>800000</v>
      </c>
      <c r="K122" s="263"/>
      <c r="L122" s="263"/>
      <c r="M122" s="263"/>
      <c r="N122" s="263"/>
      <c r="O122" s="263"/>
      <c r="P122" s="263"/>
      <c r="Q122" s="263">
        <v>299547</v>
      </c>
      <c r="R122" s="263"/>
      <c r="S122" s="263"/>
      <c r="T122" s="263">
        <f>2008718-111567-35222-384631-27000-27000</f>
        <v>1423298</v>
      </c>
      <c r="U122" s="263">
        <v>574689</v>
      </c>
      <c r="V122" s="263"/>
      <c r="W122" s="263">
        <v>277943</v>
      </c>
      <c r="X122" s="275"/>
    </row>
    <row r="123" spans="1:24" s="260" customFormat="1" ht="29.4" customHeight="1">
      <c r="A123" s="261">
        <v>17</v>
      </c>
      <c r="B123" s="262" t="s">
        <v>51</v>
      </c>
      <c r="C123" s="263">
        <f>SUM(G123:U123)+D123</f>
        <v>150179</v>
      </c>
      <c r="D123" s="263">
        <f>SUM(E123:F123)</f>
        <v>0</v>
      </c>
      <c r="E123" s="263"/>
      <c r="F123" s="263"/>
      <c r="G123" s="263"/>
      <c r="H123" s="263"/>
      <c r="I123" s="263"/>
      <c r="J123" s="263">
        <v>150179</v>
      </c>
      <c r="K123" s="263"/>
      <c r="L123" s="263"/>
      <c r="M123" s="263"/>
      <c r="N123" s="263"/>
      <c r="O123" s="263"/>
      <c r="P123" s="263"/>
      <c r="Q123" s="263"/>
      <c r="R123" s="263"/>
      <c r="S123" s="263"/>
      <c r="T123" s="263"/>
      <c r="U123" s="263"/>
      <c r="V123" s="263"/>
      <c r="W123" s="263"/>
    </row>
    <row r="124" spans="1:24" s="260" customFormat="1" ht="29.4" customHeight="1">
      <c r="A124" s="261">
        <v>18</v>
      </c>
      <c r="B124" s="262" t="s">
        <v>52</v>
      </c>
      <c r="C124" s="263">
        <f>SUM(G124:U124)+D124</f>
        <v>5587</v>
      </c>
      <c r="D124" s="263"/>
      <c r="E124" s="263"/>
      <c r="F124" s="263"/>
      <c r="G124" s="263"/>
      <c r="H124" s="263"/>
      <c r="I124" s="263"/>
      <c r="J124" s="263">
        <v>5587</v>
      </c>
      <c r="K124" s="263"/>
      <c r="L124" s="263"/>
      <c r="M124" s="263"/>
      <c r="N124" s="263"/>
      <c r="O124" s="263"/>
      <c r="P124" s="263"/>
      <c r="Q124" s="263"/>
      <c r="R124" s="263"/>
      <c r="S124" s="263"/>
      <c r="T124" s="263"/>
      <c r="U124" s="263"/>
      <c r="V124" s="263"/>
      <c r="W124" s="263"/>
    </row>
    <row r="125" spans="1:24" s="260" customFormat="1" ht="29.4" customHeight="1">
      <c r="A125" s="261">
        <v>19</v>
      </c>
      <c r="B125" s="262" t="s">
        <v>53</v>
      </c>
      <c r="C125" s="263">
        <f>SUM(G125:U125)+D125</f>
        <v>38234</v>
      </c>
      <c r="D125" s="263"/>
      <c r="E125" s="263"/>
      <c r="F125" s="263"/>
      <c r="G125" s="263"/>
      <c r="H125" s="263"/>
      <c r="I125" s="263"/>
      <c r="J125" s="263">
        <f>33663+4571</f>
        <v>38234</v>
      </c>
      <c r="K125" s="263"/>
      <c r="L125" s="263"/>
      <c r="M125" s="263"/>
      <c r="N125" s="263"/>
      <c r="O125" s="263"/>
      <c r="P125" s="263"/>
      <c r="Q125" s="263"/>
      <c r="R125" s="263"/>
      <c r="S125" s="263"/>
      <c r="T125" s="263"/>
      <c r="U125" s="263"/>
      <c r="V125" s="263"/>
      <c r="W125" s="263"/>
    </row>
    <row r="126" spans="1:24" s="260" customFormat="1" ht="29.4" customHeight="1">
      <c r="A126" s="276">
        <v>20</v>
      </c>
      <c r="B126" s="277" t="s">
        <v>28</v>
      </c>
      <c r="C126" s="278">
        <v>1006000</v>
      </c>
      <c r="D126" s="278">
        <f>SUM(E126:F126)</f>
        <v>0</v>
      </c>
      <c r="E126" s="278"/>
      <c r="F126" s="278"/>
      <c r="G126" s="278"/>
      <c r="H126" s="278"/>
      <c r="I126" s="278"/>
      <c r="J126" s="278"/>
      <c r="K126" s="278"/>
      <c r="L126" s="278"/>
      <c r="M126" s="278"/>
      <c r="N126" s="278"/>
      <c r="O126" s="278"/>
      <c r="P126" s="278"/>
      <c r="Q126" s="278"/>
      <c r="R126" s="278"/>
      <c r="S126" s="278"/>
      <c r="T126" s="278"/>
      <c r="U126" s="278"/>
      <c r="V126" s="278">
        <v>1006000</v>
      </c>
      <c r="W126" s="278"/>
    </row>
    <row r="127" spans="1:24" s="235" customFormat="1" ht="13.8" hidden="1">
      <c r="A127" s="342" t="s">
        <v>198</v>
      </c>
      <c r="B127" s="342"/>
      <c r="C127" s="245">
        <f>SUM(G127:T127)</f>
        <v>13959042.1</v>
      </c>
      <c r="D127" s="246"/>
      <c r="E127" s="246"/>
      <c r="F127" s="246"/>
      <c r="G127" s="247">
        <f t="shared" ref="G127:T127" si="25">G11+G21+G38+G47+G62</f>
        <v>8684929.1079999991</v>
      </c>
      <c r="H127" s="247">
        <f t="shared" si="25"/>
        <v>0</v>
      </c>
      <c r="I127" s="247">
        <f t="shared" si="25"/>
        <v>80527</v>
      </c>
      <c r="J127" s="247">
        <f t="shared" si="25"/>
        <v>662430</v>
      </c>
      <c r="K127" s="247">
        <f t="shared" si="25"/>
        <v>0</v>
      </c>
      <c r="L127" s="247">
        <f t="shared" si="25"/>
        <v>0</v>
      </c>
      <c r="M127" s="247">
        <f t="shared" si="25"/>
        <v>56184</v>
      </c>
      <c r="N127" s="247">
        <f t="shared" si="25"/>
        <v>377096</v>
      </c>
      <c r="O127" s="247">
        <f t="shared" si="25"/>
        <v>252576</v>
      </c>
      <c r="P127" s="247">
        <f t="shared" si="25"/>
        <v>58044</v>
      </c>
      <c r="Q127" s="247">
        <f t="shared" si="25"/>
        <v>1977148.8419999999</v>
      </c>
      <c r="R127" s="247">
        <f t="shared" si="25"/>
        <v>1060626</v>
      </c>
      <c r="S127" s="247">
        <f t="shared" si="25"/>
        <v>637914</v>
      </c>
      <c r="T127" s="247">
        <f t="shared" si="25"/>
        <v>111567.15</v>
      </c>
      <c r="U127" s="247"/>
      <c r="V127" s="246"/>
      <c r="W127" s="240"/>
    </row>
    <row r="128" spans="1:24" s="235" customFormat="1" ht="13.8" hidden="1">
      <c r="A128" s="325" t="s">
        <v>199</v>
      </c>
      <c r="B128" s="325"/>
      <c r="C128" s="245">
        <f>SUM(G128:U128)</f>
        <v>67750051.890000001</v>
      </c>
      <c r="D128" s="246"/>
      <c r="E128" s="246"/>
      <c r="F128" s="246"/>
      <c r="G128" s="247">
        <f>G14+G24+G41+G50+G65+G82+G86+G90+G94+G98+G102+G106+G110+G114+G118+G122</f>
        <v>13951805.890000001</v>
      </c>
      <c r="H128" s="247">
        <f>H14+H24+H41+H50+H65+H82+H86+H90+H94+H98+H102+H106+H110+H114+H118+H122</f>
        <v>33772397</v>
      </c>
      <c r="I128" s="247">
        <f>I14+I24+I41+I50+I65+I82+I86+I90+I94+I98+I102+I106+I110+I114+I118+I122</f>
        <v>110054</v>
      </c>
      <c r="J128" s="247">
        <f>J14+J24+J41+J50+J65+J82+J86+J90+J94+J98+J102+J106+J110+J114+J118+J122+J123+J124+J125</f>
        <v>8173957</v>
      </c>
      <c r="K128" s="247">
        <f t="shared" ref="K128:U128" si="26">K14+K24+K41+K50+K65+K82+K86+K90+K94+K98+K102+K106+K110+K114+K118+K122</f>
        <v>0</v>
      </c>
      <c r="L128" s="247">
        <f t="shared" si="26"/>
        <v>0</v>
      </c>
      <c r="M128" s="247">
        <f t="shared" si="26"/>
        <v>2501536</v>
      </c>
      <c r="N128" s="247">
        <f t="shared" si="26"/>
        <v>382904</v>
      </c>
      <c r="O128" s="247">
        <f t="shared" si="26"/>
        <v>257424</v>
      </c>
      <c r="P128" s="247">
        <f t="shared" si="26"/>
        <v>61956</v>
      </c>
      <c r="Q128" s="247">
        <f t="shared" si="26"/>
        <v>5395547</v>
      </c>
      <c r="R128" s="247">
        <f t="shared" si="26"/>
        <v>599363</v>
      </c>
      <c r="S128" s="247">
        <f t="shared" si="26"/>
        <v>518121</v>
      </c>
      <c r="T128" s="247">
        <f t="shared" si="26"/>
        <v>1450298</v>
      </c>
      <c r="U128" s="247">
        <f t="shared" si="26"/>
        <v>574689</v>
      </c>
      <c r="V128" s="246"/>
      <c r="W128" s="240"/>
    </row>
    <row r="129" spans="1:23" s="239" customFormat="1" ht="13.8" hidden="1">
      <c r="A129" s="248" t="s">
        <v>200</v>
      </c>
      <c r="B129" s="249"/>
      <c r="C129" s="250">
        <f>C19+C34+C45+C60+C81+C85</f>
        <v>941000</v>
      </c>
      <c r="D129" s="251">
        <f>941000-C129</f>
        <v>0</v>
      </c>
      <c r="E129" s="251"/>
      <c r="F129" s="251"/>
      <c r="G129" s="252">
        <f t="shared" ref="G129:U129" si="27">SUM(G127:G128)-G9</f>
        <v>0</v>
      </c>
      <c r="H129" s="252">
        <f t="shared" si="27"/>
        <v>0</v>
      </c>
      <c r="I129" s="252">
        <f t="shared" si="27"/>
        <v>0</v>
      </c>
      <c r="J129" s="252">
        <f t="shared" si="27"/>
        <v>0</v>
      </c>
      <c r="K129" s="252">
        <f t="shared" si="27"/>
        <v>0</v>
      </c>
      <c r="L129" s="252">
        <f t="shared" si="27"/>
        <v>0</v>
      </c>
      <c r="M129" s="252">
        <f t="shared" si="27"/>
        <v>0</v>
      </c>
      <c r="N129" s="252">
        <f t="shared" si="27"/>
        <v>0</v>
      </c>
      <c r="O129" s="252">
        <f t="shared" si="27"/>
        <v>0</v>
      </c>
      <c r="P129" s="252">
        <f t="shared" si="27"/>
        <v>0</v>
      </c>
      <c r="Q129" s="252">
        <f t="shared" si="27"/>
        <v>0</v>
      </c>
      <c r="R129" s="252">
        <f t="shared" si="27"/>
        <v>0</v>
      </c>
      <c r="S129" s="252">
        <f t="shared" si="27"/>
        <v>0</v>
      </c>
      <c r="T129" s="252">
        <f t="shared" si="27"/>
        <v>0</v>
      </c>
      <c r="U129" s="252">
        <f t="shared" si="27"/>
        <v>0</v>
      </c>
      <c r="V129" s="251"/>
      <c r="W129" s="243"/>
    </row>
    <row r="130" spans="1:23" s="235" customFormat="1" ht="13.8" hidden="1">
      <c r="A130" s="253"/>
      <c r="B130" s="253"/>
      <c r="C130" s="254">
        <f>C128+C127+D9+C126</f>
        <v>125441999.98999999</v>
      </c>
      <c r="G130" s="148"/>
      <c r="H130" s="148"/>
      <c r="I130" s="148"/>
      <c r="J130" s="148"/>
      <c r="K130" s="148"/>
      <c r="L130" s="148"/>
      <c r="M130" s="148"/>
      <c r="N130" s="148"/>
      <c r="O130" s="148"/>
      <c r="P130" s="148"/>
      <c r="Q130" s="148"/>
      <c r="R130" s="148"/>
      <c r="S130" s="148"/>
      <c r="T130" s="148"/>
      <c r="U130" s="148"/>
      <c r="W130" s="240"/>
    </row>
    <row r="131" spans="1:23" s="235" customFormat="1" ht="13.8" hidden="1">
      <c r="A131" s="255"/>
      <c r="B131" s="255"/>
      <c r="C131" s="256"/>
      <c r="G131" s="148"/>
      <c r="H131" s="148"/>
      <c r="I131" s="148"/>
      <c r="J131" s="148"/>
      <c r="K131" s="148"/>
      <c r="L131" s="148"/>
      <c r="M131" s="148"/>
      <c r="N131" s="148"/>
      <c r="O131" s="148"/>
      <c r="P131" s="148"/>
      <c r="Q131" s="148"/>
      <c r="R131" s="148"/>
      <c r="S131" s="148"/>
      <c r="T131" s="148"/>
      <c r="U131" s="148"/>
      <c r="W131" s="240"/>
    </row>
    <row r="132" spans="1:23" s="235" customFormat="1" ht="13.8">
      <c r="G132" s="148"/>
      <c r="H132" s="148"/>
      <c r="I132" s="148"/>
      <c r="J132" s="148"/>
      <c r="K132" s="148"/>
      <c r="L132" s="148"/>
      <c r="M132" s="148"/>
      <c r="N132" s="148"/>
      <c r="O132" s="148"/>
      <c r="P132" s="148"/>
      <c r="Q132" s="148"/>
      <c r="R132" s="148"/>
      <c r="S132" s="148"/>
      <c r="T132" s="148"/>
      <c r="U132" s="148"/>
      <c r="W132" s="240"/>
    </row>
    <row r="133" spans="1:23" s="235" customFormat="1" ht="13.8">
      <c r="G133" s="148"/>
      <c r="H133" s="148"/>
      <c r="I133" s="148"/>
      <c r="J133" s="148"/>
      <c r="K133" s="148"/>
      <c r="L133" s="148"/>
      <c r="M133" s="148"/>
      <c r="N133" s="148"/>
      <c r="O133" s="148"/>
      <c r="P133" s="148"/>
      <c r="Q133" s="148"/>
      <c r="R133" s="148"/>
      <c r="S133" s="148"/>
      <c r="T133" s="148"/>
      <c r="U133" s="148"/>
      <c r="W133" s="240"/>
    </row>
    <row r="134" spans="1:23" s="235" customFormat="1" ht="13.8">
      <c r="G134" s="148"/>
      <c r="H134" s="148"/>
      <c r="I134" s="148"/>
      <c r="J134" s="148"/>
      <c r="K134" s="148"/>
      <c r="L134" s="148"/>
      <c r="M134" s="148"/>
      <c r="N134" s="148"/>
      <c r="O134" s="148"/>
      <c r="P134" s="148"/>
      <c r="Q134" s="148"/>
      <c r="R134" s="148"/>
      <c r="S134" s="148"/>
      <c r="T134" s="148"/>
      <c r="U134" s="148"/>
      <c r="W134" s="240"/>
    </row>
    <row r="135" spans="1:23" s="235" customFormat="1" ht="13.8">
      <c r="G135" s="148"/>
      <c r="H135" s="148"/>
      <c r="I135" s="148"/>
      <c r="J135" s="148"/>
      <c r="K135" s="148"/>
      <c r="L135" s="148"/>
      <c r="M135" s="148"/>
      <c r="N135" s="148"/>
      <c r="O135" s="148"/>
      <c r="P135" s="148"/>
      <c r="Q135" s="148"/>
      <c r="R135" s="148"/>
      <c r="S135" s="148"/>
      <c r="T135" s="148"/>
      <c r="U135" s="148"/>
      <c r="W135" s="240"/>
    </row>
  </sheetData>
  <mergeCells count="22">
    <mergeCell ref="B5:B8"/>
    <mergeCell ref="W6:W8"/>
    <mergeCell ref="H7:Q7"/>
    <mergeCell ref="R7:R8"/>
    <mergeCell ref="S7:S8"/>
    <mergeCell ref="T7:T8"/>
    <mergeCell ref="A128:B128"/>
    <mergeCell ref="F7:F8"/>
    <mergeCell ref="E6:F6"/>
    <mergeCell ref="A1:T1"/>
    <mergeCell ref="A2:T2"/>
    <mergeCell ref="A3:T3"/>
    <mergeCell ref="C5:V5"/>
    <mergeCell ref="G6:T6"/>
    <mergeCell ref="U6:U8"/>
    <mergeCell ref="A5:A8"/>
    <mergeCell ref="E7:E8"/>
    <mergeCell ref="C6:C8"/>
    <mergeCell ref="D6:D8"/>
    <mergeCell ref="V6:V8"/>
    <mergeCell ref="A127:B127"/>
    <mergeCell ref="G7:G8"/>
  </mergeCells>
  <phoneticPr fontId="3" type="noConversion"/>
  <pageMargins left="0.37" right="0.15748031496062992" top="0.23622047244094491" bottom="0.23622047244094491" header="0.15748031496062992" footer="0.15748031496062992"/>
  <pageSetup paperSize="9" scale="4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Cân đối</vt:lpstr>
      <vt:lpstr>DTthu phát sinh</vt:lpstr>
      <vt:lpstr>DT thu NSX hưởng</vt:lpstr>
      <vt:lpstr>Chi NSNN</vt:lpstr>
      <vt:lpstr>CHI ĐƠN VỊ (5)</vt:lpstr>
      <vt:lpstr>'CHI ĐƠN VỊ (5)'!Print_Titles</vt:lpstr>
      <vt:lpstr>'Chi NSNN'!Print_Titles</vt:lpstr>
      <vt:lpstr>'DTthu phát sinh'!Print_Titles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cp:lastModifiedBy>
  <cp:lastPrinted>2025-07-29T00:58:25Z</cp:lastPrinted>
  <dcterms:created xsi:type="dcterms:W3CDTF">2021-10-08T07:21:26Z</dcterms:created>
  <dcterms:modified xsi:type="dcterms:W3CDTF">2025-07-29T01:09:01Z</dcterms:modified>
</cp:coreProperties>
</file>